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5325" windowWidth="15480" windowHeight="6540" tabRatio="883"/>
  </bookViews>
  <sheets>
    <sheet name="1-Intro and Instructions" sheetId="18" r:id="rId1"/>
    <sheet name="2-Data Collection Support" sheetId="27" r:id="rId2"/>
    <sheet name="3-Data Workspace" sheetId="26" r:id="rId3"/>
    <sheet name="4-Data Summary Sheet" sheetId="21" r:id="rId4"/>
    <sheet name="5-Energy Balance Calculation" sheetId="24" r:id="rId5"/>
    <sheet name="6-Sankey Diagram Instructions" sheetId="25" r:id="rId6"/>
    <sheet name="7-Stationary Energy" sheetId="5" r:id="rId7"/>
    <sheet name="Stationary Reference" sheetId="16" r:id="rId8"/>
    <sheet name="8-Transportation" sheetId="30" r:id="rId9"/>
    <sheet name="Transportation Reference" sheetId="11" r:id="rId10"/>
    <sheet name="9-Water " sheetId="28" r:id="rId11"/>
    <sheet name="Water Reference" sheetId="13" r:id="rId12"/>
    <sheet name="10-Solid Waste" sheetId="29" r:id="rId13"/>
    <sheet name="Solid Waste Reference" sheetId="12" r:id="rId14"/>
  </sheets>
  <externalReferences>
    <externalReference r:id="rId15"/>
  </externalReferences>
  <calcPr calcId="145621"/>
</workbook>
</file>

<file path=xl/calcChain.xml><?xml version="1.0" encoding="utf-8"?>
<calcChain xmlns="http://schemas.openxmlformats.org/spreadsheetml/2006/main">
  <c r="M64" i="30" l="1"/>
  <c r="N64" i="30" s="1"/>
  <c r="M63" i="30"/>
  <c r="N63" i="30" s="1"/>
  <c r="M62" i="30"/>
  <c r="N62" i="30" s="1"/>
  <c r="J58" i="30"/>
  <c r="L57" i="30"/>
  <c r="L56" i="30"/>
  <c r="G56" i="30"/>
  <c r="J54" i="30"/>
  <c r="F41" i="30"/>
  <c r="L41" i="30" s="1"/>
  <c r="F40" i="30"/>
  <c r="G22" i="30"/>
  <c r="F36" i="30" s="1"/>
  <c r="J49" i="30" s="1"/>
  <c r="H21" i="30"/>
  <c r="G21" i="30"/>
  <c r="F21" i="30"/>
  <c r="H20" i="30"/>
  <c r="G20" i="30"/>
  <c r="F20" i="30"/>
  <c r="F34" i="30" s="1"/>
  <c r="J47" i="30" s="1"/>
  <c r="H19" i="30"/>
  <c r="G19" i="30"/>
  <c r="F19" i="30"/>
  <c r="H18" i="30"/>
  <c r="G18" i="30"/>
  <c r="F18" i="30"/>
  <c r="F32" i="30" s="1"/>
  <c r="J45" i="30" s="1"/>
  <c r="H17" i="30"/>
  <c r="G17" i="30"/>
  <c r="F17" i="30"/>
  <c r="H16" i="30"/>
  <c r="G16" i="30"/>
  <c r="F16" i="30"/>
  <c r="F30" i="30" s="1"/>
  <c r="J43" i="30" s="1"/>
  <c r="H15" i="30"/>
  <c r="G15" i="30"/>
  <c r="F15" i="30"/>
  <c r="H14" i="30"/>
  <c r="G14" i="30"/>
  <c r="F14" i="30"/>
  <c r="F28" i="30" s="1"/>
  <c r="H13" i="30"/>
  <c r="G13" i="30"/>
  <c r="F13" i="30"/>
  <c r="G75" i="29"/>
  <c r="G74" i="29"/>
  <c r="G73" i="29"/>
  <c r="G72" i="29"/>
  <c r="H71" i="29"/>
  <c r="G71" i="29"/>
  <c r="H70" i="29"/>
  <c r="G70" i="29"/>
  <c r="H69" i="29"/>
  <c r="G69" i="29"/>
  <c r="H68" i="29"/>
  <c r="G68" i="29"/>
  <c r="I64" i="29"/>
  <c r="H64" i="29"/>
  <c r="G64" i="29"/>
  <c r="F64" i="29"/>
  <c r="E64" i="29"/>
  <c r="I63" i="29"/>
  <c r="H63" i="29"/>
  <c r="G63" i="29"/>
  <c r="F63" i="29"/>
  <c r="E63" i="29"/>
  <c r="I62" i="29"/>
  <c r="H62" i="29"/>
  <c r="G62" i="29"/>
  <c r="F62" i="29"/>
  <c r="E62" i="29"/>
  <c r="I61" i="29"/>
  <c r="H61" i="29"/>
  <c r="G61" i="29"/>
  <c r="F61" i="29"/>
  <c r="E61" i="29"/>
  <c r="I60" i="29"/>
  <c r="H60" i="29"/>
  <c r="G60" i="29"/>
  <c r="F60" i="29"/>
  <c r="E60" i="29"/>
  <c r="I59" i="29"/>
  <c r="H59" i="29"/>
  <c r="G59" i="29"/>
  <c r="F59" i="29"/>
  <c r="E59" i="29"/>
  <c r="I58" i="29"/>
  <c r="H58" i="29"/>
  <c r="G58" i="29"/>
  <c r="F58" i="29"/>
  <c r="E58" i="29"/>
  <c r="I57" i="29"/>
  <c r="H57" i="29"/>
  <c r="G57" i="29"/>
  <c r="F57" i="29"/>
  <c r="E57" i="29"/>
  <c r="I56" i="29"/>
  <c r="H56" i="29"/>
  <c r="G56" i="29"/>
  <c r="F56" i="29"/>
  <c r="E56" i="29"/>
  <c r="I55" i="29"/>
  <c r="H55" i="29"/>
  <c r="G55" i="29"/>
  <c r="E55" i="29"/>
  <c r="N50" i="29"/>
  <c r="P50" i="29" s="1"/>
  <c r="N49" i="29"/>
  <c r="P49" i="29" s="1"/>
  <c r="N48" i="29"/>
  <c r="P48" i="29" s="1"/>
  <c r="N47" i="29"/>
  <c r="P47" i="29" s="1"/>
  <c r="N46" i="29"/>
  <c r="P46" i="29" s="1"/>
  <c r="N45" i="29"/>
  <c r="P45" i="29" s="1"/>
  <c r="N44" i="29"/>
  <c r="P44" i="29" s="1"/>
  <c r="N43" i="29"/>
  <c r="P43" i="29" s="1"/>
  <c r="N42" i="29"/>
  <c r="P42" i="29" s="1"/>
  <c r="N41" i="29"/>
  <c r="P41" i="29" s="1"/>
  <c r="G30" i="29"/>
  <c r="F29" i="29"/>
  <c r="F28" i="29"/>
  <c r="F27" i="29"/>
  <c r="F26" i="29"/>
  <c r="F25" i="29"/>
  <c r="F24" i="29"/>
  <c r="F23" i="29"/>
  <c r="F22" i="29"/>
  <c r="F21" i="29"/>
  <c r="G16" i="29"/>
  <c r="F76" i="29" s="1"/>
  <c r="I76" i="29" s="1"/>
  <c r="E12" i="29"/>
  <c r="K64" i="29" s="1"/>
  <c r="H49" i="28"/>
  <c r="E49" i="28"/>
  <c r="J45" i="28"/>
  <c r="L45" i="28" s="1"/>
  <c r="H45" i="28"/>
  <c r="G75" i="28" s="1"/>
  <c r="G45" i="28"/>
  <c r="J44" i="28"/>
  <c r="L44" i="28" s="1"/>
  <c r="H44" i="28"/>
  <c r="G73" i="28" s="1"/>
  <c r="G44" i="28"/>
  <c r="J43" i="28"/>
  <c r="L43" i="28" s="1"/>
  <c r="H43" i="28"/>
  <c r="G71" i="28" s="1"/>
  <c r="G43" i="28"/>
  <c r="J42" i="28"/>
  <c r="L42" i="28" s="1"/>
  <c r="H42" i="28"/>
  <c r="G69" i="28" s="1"/>
  <c r="G42" i="28"/>
  <c r="J41" i="28"/>
  <c r="L41" i="28" s="1"/>
  <c r="H41" i="28"/>
  <c r="G67" i="28" s="1"/>
  <c r="G41" i="28"/>
  <c r="J40" i="28"/>
  <c r="L40" i="28" s="1"/>
  <c r="H40" i="28"/>
  <c r="G65" i="28" s="1"/>
  <c r="G40" i="28"/>
  <c r="J39" i="28"/>
  <c r="L39" i="28" s="1"/>
  <c r="H39" i="28"/>
  <c r="G63" i="28" s="1"/>
  <c r="G39" i="28"/>
  <c r="J38" i="28"/>
  <c r="L38" i="28" s="1"/>
  <c r="H38" i="28"/>
  <c r="G61" i="28" s="1"/>
  <c r="G38" i="28"/>
  <c r="J37" i="28"/>
  <c r="L37" i="28" s="1"/>
  <c r="H37" i="28"/>
  <c r="G59" i="28" s="1"/>
  <c r="G37" i="28"/>
  <c r="J36" i="28"/>
  <c r="L36" i="28" s="1"/>
  <c r="H36" i="28"/>
  <c r="G57" i="28" s="1"/>
  <c r="G36" i="28"/>
  <c r="J35" i="28"/>
  <c r="L35" i="28" s="1"/>
  <c r="H35" i="28"/>
  <c r="G55" i="28" s="1"/>
  <c r="G35" i="28"/>
  <c r="E25" i="28"/>
  <c r="C25" i="28"/>
  <c r="E24" i="28"/>
  <c r="C24" i="28"/>
  <c r="E23" i="28"/>
  <c r="C23" i="28"/>
  <c r="E22" i="28"/>
  <c r="C22" i="28"/>
  <c r="E21" i="28"/>
  <c r="C21" i="28"/>
  <c r="E20" i="28"/>
  <c r="C20" i="28"/>
  <c r="E19" i="28"/>
  <c r="C19" i="28"/>
  <c r="E18" i="28"/>
  <c r="C18" i="28"/>
  <c r="E17" i="28"/>
  <c r="C17" i="28"/>
  <c r="E16" i="28"/>
  <c r="C16" i="28"/>
  <c r="E15" i="28"/>
  <c r="F75" i="28" s="1"/>
  <c r="E14" i="28"/>
  <c r="F74" i="28" s="1"/>
  <c r="E13" i="28"/>
  <c r="H101" i="28" s="1"/>
  <c r="E12" i="28"/>
  <c r="F49" i="28" s="1"/>
  <c r="I49" i="28" s="1"/>
  <c r="F80" i="28" s="1"/>
  <c r="H75" i="28" l="1"/>
  <c r="H93" i="28"/>
  <c r="F75" i="29"/>
  <c r="I75" i="29" s="1"/>
  <c r="F27" i="30"/>
  <c r="F29" i="30"/>
  <c r="J42" i="30" s="1"/>
  <c r="F31" i="30"/>
  <c r="J44" i="30" s="1"/>
  <c r="F33" i="30"/>
  <c r="J46" i="30" s="1"/>
  <c r="F35" i="30"/>
  <c r="I75" i="28"/>
  <c r="F73" i="29"/>
  <c r="I73" i="29" s="1"/>
  <c r="M61" i="30"/>
  <c r="N61" i="30" s="1"/>
  <c r="M60" i="30"/>
  <c r="N60" i="30" s="1"/>
  <c r="M59" i="30"/>
  <c r="N59" i="30" s="1"/>
  <c r="M55" i="30"/>
  <c r="N55" i="30" s="1"/>
  <c r="J41" i="30"/>
  <c r="M56" i="30"/>
  <c r="N56" i="30" s="1"/>
  <c r="M58" i="30"/>
  <c r="N58" i="30" s="1"/>
  <c r="M54" i="30"/>
  <c r="N54" i="30" s="1"/>
  <c r="M57" i="30"/>
  <c r="N57" i="30" s="1"/>
  <c r="J48" i="30"/>
  <c r="J40" i="30"/>
  <c r="L40" i="30"/>
  <c r="L50" i="30" s="1"/>
  <c r="F30" i="29"/>
  <c r="E86" i="29"/>
  <c r="E88" i="29"/>
  <c r="E87" i="29"/>
  <c r="E89" i="29"/>
  <c r="K55" i="29"/>
  <c r="J56" i="29"/>
  <c r="K57" i="29"/>
  <c r="J58" i="29"/>
  <c r="K59" i="29"/>
  <c r="J60" i="29"/>
  <c r="K61" i="29"/>
  <c r="J62" i="29"/>
  <c r="K63" i="29"/>
  <c r="J64" i="29"/>
  <c r="G41" i="29"/>
  <c r="F55" i="29"/>
  <c r="J55" i="29"/>
  <c r="K56" i="29"/>
  <c r="J57" i="29"/>
  <c r="K58" i="29"/>
  <c r="J59" i="29"/>
  <c r="K60" i="29"/>
  <c r="J61" i="29"/>
  <c r="K62" i="29"/>
  <c r="J63" i="29"/>
  <c r="F68" i="29"/>
  <c r="I68" i="29" s="1"/>
  <c r="F69" i="29"/>
  <c r="I69" i="29" s="1"/>
  <c r="F70" i="29"/>
  <c r="I70" i="29" s="1"/>
  <c r="F71" i="29"/>
  <c r="I71" i="29" s="1"/>
  <c r="F72" i="29"/>
  <c r="I72" i="29" s="1"/>
  <c r="E83" i="29" s="1"/>
  <c r="F74" i="29"/>
  <c r="I74" i="29" s="1"/>
  <c r="E84" i="29" s="1"/>
  <c r="F54" i="28"/>
  <c r="H54" i="28"/>
  <c r="F55" i="28"/>
  <c r="H55" i="28"/>
  <c r="F56" i="28"/>
  <c r="H56" i="28"/>
  <c r="F57" i="28"/>
  <c r="H57" i="28"/>
  <c r="F58" i="28"/>
  <c r="H58" i="28"/>
  <c r="F59" i="28"/>
  <c r="H59" i="28"/>
  <c r="F60" i="28"/>
  <c r="H60" i="28"/>
  <c r="F61" i="28"/>
  <c r="H61" i="28"/>
  <c r="F62" i="28"/>
  <c r="H62" i="28"/>
  <c r="F63" i="28"/>
  <c r="H63" i="28"/>
  <c r="F64" i="28"/>
  <c r="H64" i="28"/>
  <c r="F65" i="28"/>
  <c r="H65" i="28"/>
  <c r="F66" i="28"/>
  <c r="H66" i="28"/>
  <c r="F67" i="28"/>
  <c r="H67" i="28"/>
  <c r="F68" i="28"/>
  <c r="H68" i="28"/>
  <c r="F69" i="28"/>
  <c r="H69" i="28"/>
  <c r="F70" i="28"/>
  <c r="H70" i="28"/>
  <c r="F71" i="28"/>
  <c r="H71" i="28"/>
  <c r="F72" i="28"/>
  <c r="H72" i="28"/>
  <c r="F73" i="28"/>
  <c r="H73" i="28"/>
  <c r="H74" i="28"/>
  <c r="H91" i="28"/>
  <c r="H103" i="28" s="1"/>
  <c r="F107" i="28" s="1"/>
  <c r="G54" i="28"/>
  <c r="G56" i="28"/>
  <c r="G58" i="28"/>
  <c r="G60" i="28"/>
  <c r="G62" i="28"/>
  <c r="G64" i="28"/>
  <c r="G66" i="28"/>
  <c r="G68" i="28"/>
  <c r="G70" i="28"/>
  <c r="G72" i="28"/>
  <c r="G74" i="28"/>
  <c r="I74" i="28" s="1"/>
  <c r="I55" i="28" l="1"/>
  <c r="E81" i="29"/>
  <c r="E85" i="29"/>
  <c r="N65" i="30"/>
  <c r="F69" i="30" s="1"/>
  <c r="F68" i="30"/>
  <c r="J50" i="30"/>
  <c r="E79" i="29"/>
  <c r="E82" i="29"/>
  <c r="J65" i="29"/>
  <c r="F94" i="29" s="1"/>
  <c r="E80" i="29"/>
  <c r="I73" i="28"/>
  <c r="I72" i="28"/>
  <c r="I71" i="28"/>
  <c r="I70" i="28"/>
  <c r="I69" i="28"/>
  <c r="I68" i="28"/>
  <c r="I67" i="28"/>
  <c r="I66" i="28"/>
  <c r="I65" i="28"/>
  <c r="I64" i="28"/>
  <c r="I63" i="28"/>
  <c r="I62" i="28"/>
  <c r="I61" i="28"/>
  <c r="I60" i="28"/>
  <c r="I59" i="28"/>
  <c r="I58" i="28"/>
  <c r="I57" i="28"/>
  <c r="I56" i="28"/>
  <c r="I54" i="28"/>
  <c r="E90" i="29" l="1"/>
  <c r="F93" i="29" s="1"/>
  <c r="F95" i="29" s="1"/>
  <c r="I76" i="28"/>
  <c r="E80" i="28" s="1"/>
  <c r="H80" i="28" s="1"/>
  <c r="F106" i="28" s="1"/>
  <c r="F108" i="28" s="1"/>
  <c r="J104" i="5" l="1"/>
  <c r="J103" i="5"/>
  <c r="J102" i="5"/>
  <c r="J101" i="5"/>
  <c r="J100" i="5"/>
  <c r="J99" i="5"/>
  <c r="J98" i="5"/>
  <c r="I97" i="5"/>
  <c r="I96" i="5"/>
  <c r="I105" i="5" s="1"/>
  <c r="J95" i="5"/>
  <c r="J73" i="5" l="1"/>
  <c r="J50" i="5"/>
  <c r="J51" i="5"/>
  <c r="J52" i="5"/>
  <c r="J53" i="5"/>
  <c r="J54" i="5"/>
  <c r="J55" i="5"/>
  <c r="J56" i="5"/>
  <c r="J47" i="5"/>
  <c r="J48" i="5"/>
  <c r="I71" i="5"/>
  <c r="K82" i="24"/>
  <c r="K79" i="24"/>
  <c r="K84" i="24" s="1"/>
  <c r="K74" i="24"/>
  <c r="K71" i="24"/>
  <c r="K76" i="24" s="1"/>
  <c r="K66" i="24"/>
  <c r="K63" i="24"/>
  <c r="K68" i="24" s="1"/>
  <c r="K58" i="24"/>
  <c r="AF57" i="24"/>
  <c r="K55" i="24"/>
  <c r="AF52" i="24"/>
  <c r="AF53" i="24" s="1"/>
  <c r="K51" i="24"/>
  <c r="K48" i="24"/>
  <c r="K60" i="24" s="1"/>
  <c r="AF47" i="24"/>
  <c r="P45" i="24"/>
  <c r="K43" i="24"/>
  <c r="AF42" i="24"/>
  <c r="P42" i="24"/>
  <c r="P39" i="24"/>
  <c r="Z44" i="24" s="1"/>
  <c r="K39" i="24"/>
  <c r="AF37" i="24"/>
  <c r="F36" i="24"/>
  <c r="K36" i="24" s="1"/>
  <c r="I31" i="5"/>
  <c r="K45" i="24" l="1"/>
  <c r="P36" i="24"/>
  <c r="I49" i="5"/>
  <c r="I30" i="5"/>
  <c r="I29" i="5"/>
  <c r="I28" i="5"/>
  <c r="I72" i="5"/>
  <c r="J79" i="5"/>
  <c r="J78" i="5"/>
  <c r="J77" i="5"/>
  <c r="J76" i="5"/>
  <c r="J75" i="5"/>
  <c r="J74" i="5"/>
  <c r="J70" i="5"/>
  <c r="I80" i="5" l="1"/>
  <c r="U64" i="24"/>
  <c r="Z54" i="24" s="1"/>
  <c r="U61" i="24"/>
  <c r="Z52" i="24" s="1"/>
  <c r="U48" i="24"/>
  <c r="Z42" i="24" s="1"/>
  <c r="U44" i="24"/>
  <c r="Z40" i="24" s="1"/>
  <c r="U40" i="24"/>
  <c r="Z38" i="24" s="1"/>
  <c r="U36" i="24"/>
  <c r="U58" i="24"/>
  <c r="Z50" i="24" s="1"/>
  <c r="U55" i="24"/>
  <c r="Z48" i="24" s="1"/>
  <c r="U52" i="24"/>
  <c r="Z46" i="24" s="1"/>
  <c r="I35" i="5"/>
  <c r="I57" i="5"/>
  <c r="U70" i="24" l="1"/>
  <c r="Z36" i="24"/>
  <c r="AF56" i="24" l="1"/>
  <c r="AF58" i="24" s="1"/>
  <c r="AF41" i="24"/>
  <c r="AF43" i="24" s="1"/>
  <c r="AF46" i="24"/>
  <c r="AF48" i="24" s="1"/>
  <c r="AF36" i="24"/>
  <c r="AF38" i="24" s="1"/>
  <c r="G131" i="12" l="1"/>
  <c r="G130" i="12"/>
  <c r="G129" i="12"/>
  <c r="G128" i="12"/>
  <c r="G127" i="12"/>
  <c r="G126" i="12"/>
  <c r="G125" i="12"/>
  <c r="G124" i="12"/>
  <c r="G123" i="12"/>
  <c r="G122" i="12"/>
  <c r="G121" i="12"/>
  <c r="G120" i="12"/>
  <c r="G119" i="12"/>
  <c r="G118" i="12"/>
  <c r="G117" i="12"/>
  <c r="G116" i="12"/>
  <c r="G115" i="12"/>
  <c r="G114" i="12"/>
  <c r="G113" i="12"/>
  <c r="G112" i="12"/>
  <c r="G111" i="12"/>
  <c r="G110" i="12"/>
  <c r="G109" i="12"/>
  <c r="G108" i="12"/>
  <c r="G107" i="12"/>
  <c r="G106" i="12"/>
  <c r="G105" i="12"/>
  <c r="G104" i="12"/>
  <c r="G103" i="12"/>
  <c r="G102" i="12"/>
  <c r="G101" i="12"/>
  <c r="G100" i="12"/>
  <c r="G99" i="12"/>
  <c r="G98" i="12"/>
  <c r="G97" i="12"/>
  <c r="G96" i="12"/>
  <c r="G95" i="12"/>
  <c r="G94" i="12"/>
  <c r="G93" i="12"/>
  <c r="G92" i="12"/>
  <c r="G91" i="12"/>
  <c r="G90" i="12"/>
  <c r="G89" i="12"/>
  <c r="G88" i="12"/>
  <c r="G87" i="12"/>
  <c r="G86" i="12"/>
  <c r="G85" i="12"/>
  <c r="G84" i="12"/>
  <c r="G83" i="12"/>
  <c r="G82" i="12"/>
  <c r="G81" i="12"/>
  <c r="G80" i="12"/>
  <c r="G79" i="12"/>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15" i="13"/>
  <c r="J32" i="5"/>
  <c r="L32" i="5" s="1"/>
  <c r="J33" i="5"/>
  <c r="L33" i="5" s="1"/>
  <c r="J34" i="5"/>
  <c r="L34" i="5" s="1"/>
  <c r="J27" i="5"/>
  <c r="L27" i="5" s="1"/>
  <c r="G236" i="16"/>
  <c r="G235" i="16"/>
  <c r="G234" i="16"/>
  <c r="G233" i="16"/>
  <c r="G232" i="16"/>
  <c r="G231" i="16"/>
  <c r="G230" i="16"/>
  <c r="G229" i="16"/>
  <c r="G228" i="16"/>
  <c r="G227" i="16"/>
  <c r="G226" i="16"/>
  <c r="G225" i="16"/>
  <c r="G224" i="16"/>
  <c r="G223" i="16"/>
  <c r="G222" i="16"/>
  <c r="G221" i="16"/>
  <c r="G220" i="16"/>
  <c r="G219" i="16"/>
  <c r="G218" i="16"/>
  <c r="G217" i="16"/>
  <c r="G216" i="16"/>
  <c r="G215" i="16"/>
  <c r="G214" i="16"/>
  <c r="G213" i="16"/>
  <c r="G212" i="16"/>
  <c r="G211" i="16"/>
  <c r="G210" i="16"/>
  <c r="G209" i="16"/>
  <c r="G208" i="16"/>
  <c r="G207" i="16"/>
  <c r="G206" i="16"/>
  <c r="G205" i="16"/>
  <c r="G204" i="16"/>
  <c r="G203" i="16"/>
  <c r="G202" i="16"/>
  <c r="G201" i="16"/>
  <c r="G200" i="16"/>
  <c r="G199" i="16"/>
  <c r="G198" i="16"/>
  <c r="G197" i="16"/>
  <c r="G196" i="16"/>
  <c r="G195" i="16"/>
  <c r="G194" i="16"/>
  <c r="G193" i="16"/>
  <c r="G192" i="16"/>
  <c r="G191" i="16"/>
  <c r="G190" i="16"/>
  <c r="G189" i="16"/>
  <c r="G188" i="16"/>
  <c r="G187" i="16"/>
  <c r="G186" i="16"/>
  <c r="G185" i="16"/>
  <c r="G184" i="16"/>
  <c r="G118" i="16"/>
  <c r="G117" i="16"/>
  <c r="G116" i="16"/>
  <c r="G115" i="16"/>
  <c r="G114" i="16"/>
  <c r="G113" i="16"/>
  <c r="G112" i="16"/>
  <c r="G111" i="16"/>
  <c r="G110" i="16"/>
  <c r="G109" i="16"/>
  <c r="G108" i="16"/>
  <c r="G107" i="16"/>
  <c r="G106" i="16"/>
  <c r="G105" i="16"/>
  <c r="G104" i="16"/>
  <c r="G103" i="16"/>
  <c r="G102" i="16"/>
  <c r="G101" i="16"/>
  <c r="G100" i="16"/>
  <c r="G99" i="16"/>
  <c r="G98" i="16"/>
  <c r="G97" i="16"/>
  <c r="G96" i="16"/>
  <c r="G95" i="16"/>
  <c r="G94" i="16"/>
  <c r="G93" i="16"/>
  <c r="G92" i="16"/>
  <c r="G91" i="16"/>
  <c r="G90" i="16"/>
  <c r="G89" i="16"/>
  <c r="G88" i="16"/>
  <c r="G87" i="16"/>
  <c r="G86" i="16"/>
  <c r="G85" i="16"/>
  <c r="G84" i="16"/>
  <c r="G83" i="16"/>
  <c r="G82" i="16"/>
  <c r="G81" i="16"/>
  <c r="G80" i="16"/>
  <c r="G79" i="16"/>
  <c r="G78" i="16"/>
  <c r="G77" i="16"/>
  <c r="J30" i="5" s="1"/>
  <c r="L30" i="5" s="1"/>
  <c r="G76" i="16"/>
  <c r="G75" i="16"/>
  <c r="J29" i="5" s="1"/>
  <c r="L29" i="5" s="1"/>
  <c r="G74" i="16"/>
  <c r="G73" i="16"/>
  <c r="G72" i="16"/>
  <c r="G71" i="16"/>
  <c r="G70" i="16"/>
  <c r="G69" i="16"/>
  <c r="J28" i="5" s="1"/>
  <c r="L28" i="5" s="1"/>
  <c r="G68" i="16"/>
  <c r="J31" i="5" s="1"/>
  <c r="L31" i="5" s="1"/>
  <c r="G67" i="16"/>
  <c r="G66" i="16"/>
  <c r="G177" i="16"/>
  <c r="G176" i="16"/>
  <c r="G175" i="16"/>
  <c r="G174" i="16"/>
  <c r="G173" i="16"/>
  <c r="G172" i="16"/>
  <c r="G171" i="16"/>
  <c r="G170" i="16"/>
  <c r="G169" i="16"/>
  <c r="G168" i="16"/>
  <c r="G167" i="16"/>
  <c r="G166" i="16"/>
  <c r="G165" i="16"/>
  <c r="G164" i="16"/>
  <c r="G163" i="16"/>
  <c r="G162" i="16"/>
  <c r="G161" i="16"/>
  <c r="G160" i="16"/>
  <c r="G159" i="16"/>
  <c r="G158" i="16"/>
  <c r="G157" i="16"/>
  <c r="G156" i="16"/>
  <c r="G155" i="16"/>
  <c r="G154" i="16"/>
  <c r="G153" i="16"/>
  <c r="G152" i="16"/>
  <c r="G151" i="16"/>
  <c r="G150" i="16"/>
  <c r="G149" i="16"/>
  <c r="G148" i="16"/>
  <c r="G147" i="16"/>
  <c r="G146" i="16"/>
  <c r="G145" i="16"/>
  <c r="G144" i="16"/>
  <c r="G143" i="16"/>
  <c r="G142" i="16"/>
  <c r="G141" i="16"/>
  <c r="G140" i="16"/>
  <c r="G139" i="16"/>
  <c r="G138" i="16"/>
  <c r="G137" i="16"/>
  <c r="G136" i="16"/>
  <c r="G135" i="16"/>
  <c r="G134" i="16"/>
  <c r="G133" i="16"/>
  <c r="G132" i="16"/>
  <c r="G131" i="16"/>
  <c r="G130" i="16"/>
  <c r="G129" i="16"/>
  <c r="G128" i="16"/>
  <c r="G127" i="16"/>
  <c r="G126" i="16"/>
  <c r="G125" i="16"/>
  <c r="G9" i="16"/>
  <c r="G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8" i="16"/>
  <c r="D12" i="5"/>
  <c r="J96" i="5" l="1"/>
  <c r="K96" i="5" s="1"/>
  <c r="J71" i="5"/>
  <c r="K71" i="5" s="1"/>
  <c r="J97" i="5"/>
  <c r="K97" i="5" s="1"/>
  <c r="J49" i="5"/>
  <c r="K49" i="5" s="1"/>
  <c r="K57" i="5" s="1"/>
  <c r="J72" i="5"/>
  <c r="K72" i="5" s="1"/>
  <c r="E86" i="5"/>
  <c r="F86" i="5" s="1"/>
  <c r="E61" i="5"/>
  <c r="F61" i="5" s="1"/>
  <c r="E85" i="5"/>
  <c r="F85" i="5" s="1"/>
  <c r="E19" i="5"/>
  <c r="F19" i="5" s="1"/>
  <c r="E39" i="5"/>
  <c r="F39" i="5" s="1"/>
  <c r="L35" i="5"/>
  <c r="G23" i="11"/>
  <c r="G24" i="11"/>
  <c r="G25" i="11"/>
  <c r="G27" i="11"/>
  <c r="G28" i="11"/>
  <c r="G29" i="11"/>
  <c r="G30" i="11"/>
  <c r="G22" i="11"/>
  <c r="K80" i="5" l="1"/>
  <c r="K105" i="5"/>
  <c r="G77" i="13"/>
  <c r="H77" i="13"/>
  <c r="H76" i="13"/>
  <c r="G76" i="13"/>
  <c r="H74" i="13"/>
  <c r="G74" i="13"/>
  <c r="G71" i="13"/>
  <c r="H71" i="13"/>
  <c r="G72" i="13"/>
  <c r="H72" i="13"/>
  <c r="H70" i="13"/>
  <c r="G70" i="13"/>
  <c r="G65" i="13"/>
  <c r="H65" i="13"/>
  <c r="G66" i="13"/>
  <c r="H66" i="13"/>
  <c r="G67" i="13"/>
  <c r="H67" i="13"/>
  <c r="G68" i="13"/>
  <c r="H68" i="13"/>
  <c r="H64" i="13"/>
  <c r="G64" i="13"/>
  <c r="G61" i="13"/>
  <c r="H61" i="13"/>
  <c r="G62" i="13"/>
  <c r="H62" i="13"/>
  <c r="H60" i="13"/>
  <c r="G60" i="13"/>
  <c r="H59" i="13"/>
  <c r="G59" i="13"/>
  <c r="H58" i="13"/>
  <c r="G58" i="13"/>
  <c r="H57" i="13"/>
  <c r="G57" i="13"/>
  <c r="G53" i="13"/>
  <c r="H53" i="13"/>
  <c r="G54" i="13"/>
  <c r="H54" i="13"/>
  <c r="G55" i="13"/>
  <c r="H55" i="13"/>
  <c r="H52" i="13"/>
  <c r="G52" i="13"/>
  <c r="E26" i="11"/>
  <c r="G26" i="11" s="1"/>
  <c r="D7" i="11"/>
</calcChain>
</file>

<file path=xl/comments1.xml><?xml version="1.0" encoding="utf-8"?>
<comments xmlns="http://schemas.openxmlformats.org/spreadsheetml/2006/main">
  <authors>
    <author>A satisfied Microsoft Office user</author>
  </authors>
  <commentList>
    <comment ref="F40" authorId="0">
      <text>
        <r>
          <rPr>
            <sz val="8"/>
            <color indexed="81"/>
            <rFont val="Tahoma"/>
            <family val="2"/>
          </rPr>
          <t xml:space="preserve">x  Not Applicable
</t>
        </r>
      </text>
    </comment>
    <comment ref="G40" authorId="0">
      <text>
        <r>
          <rPr>
            <sz val="8"/>
            <color indexed="81"/>
            <rFont val="Tahoma"/>
            <family val="2"/>
          </rPr>
          <t xml:space="preserve">x  Not Applicable
</t>
        </r>
      </text>
    </comment>
    <comment ref="F41" authorId="0">
      <text>
        <r>
          <rPr>
            <sz val="8"/>
            <color indexed="81"/>
            <rFont val="Tahoma"/>
            <family val="2"/>
          </rPr>
          <t xml:space="preserve">x  Not Applicable
</t>
        </r>
      </text>
    </comment>
    <comment ref="H41" authorId="0">
      <text>
        <r>
          <rPr>
            <sz val="8"/>
            <color indexed="81"/>
            <rFont val="Tahoma"/>
            <family val="2"/>
          </rPr>
          <t xml:space="preserve">x  Not Applicable
</t>
        </r>
      </text>
    </comment>
    <comment ref="I41" authorId="0">
      <text>
        <r>
          <rPr>
            <sz val="8"/>
            <color indexed="81"/>
            <rFont val="Tahoma"/>
            <family val="2"/>
          </rPr>
          <t xml:space="preserve">x  Not Applicable
</t>
        </r>
      </text>
    </comment>
    <comment ref="L41" authorId="0">
      <text>
        <r>
          <rPr>
            <sz val="8"/>
            <color indexed="81"/>
            <rFont val="Tahoma"/>
            <family val="2"/>
          </rPr>
          <t xml:space="preserve">x  Not Applicable
</t>
        </r>
      </text>
    </comment>
    <comment ref="O41" authorId="0">
      <text>
        <r>
          <rPr>
            <sz val="8"/>
            <color indexed="81"/>
            <rFont val="Tahoma"/>
            <family val="2"/>
          </rPr>
          <t xml:space="preserve">x  Not Applicable
</t>
        </r>
      </text>
    </comment>
    <comment ref="P41" authorId="0">
      <text>
        <r>
          <rPr>
            <sz val="8"/>
            <color indexed="81"/>
            <rFont val="Tahoma"/>
            <family val="2"/>
          </rPr>
          <t xml:space="preserve">x  Not Applicable
</t>
        </r>
      </text>
    </comment>
    <comment ref="Q41" authorId="0">
      <text>
        <r>
          <rPr>
            <sz val="8"/>
            <color indexed="81"/>
            <rFont val="Tahoma"/>
            <family val="2"/>
          </rPr>
          <t xml:space="preserve">x  Not Applicable
</t>
        </r>
      </text>
    </comment>
    <comment ref="S41" authorId="0">
      <text>
        <r>
          <rPr>
            <sz val="8"/>
            <color indexed="81"/>
            <rFont val="Tahoma"/>
            <family val="2"/>
          </rPr>
          <t xml:space="preserve">x  Not Applicable
</t>
        </r>
      </text>
    </comment>
    <comment ref="T41" authorId="0">
      <text>
        <r>
          <rPr>
            <sz val="8"/>
            <color indexed="81"/>
            <rFont val="Tahoma"/>
            <family val="2"/>
          </rPr>
          <t xml:space="preserve">x  Not Applicable
</t>
        </r>
      </text>
    </comment>
    <comment ref="Y41" authorId="0">
      <text>
        <r>
          <rPr>
            <sz val="8"/>
            <color indexed="81"/>
            <rFont val="Tahoma"/>
            <family val="2"/>
          </rPr>
          <t xml:space="preserve">x  Not Applicable
</t>
        </r>
      </text>
    </comment>
    <comment ref="Z41" authorId="0">
      <text>
        <r>
          <rPr>
            <sz val="8"/>
            <color indexed="81"/>
            <rFont val="Tahoma"/>
            <family val="2"/>
          </rPr>
          <t xml:space="preserve">x  Not Applicable
</t>
        </r>
      </text>
    </comment>
    <comment ref="AB41" authorId="0">
      <text>
        <r>
          <rPr>
            <sz val="8"/>
            <color indexed="81"/>
            <rFont val="Tahoma"/>
            <family val="2"/>
          </rPr>
          <t xml:space="preserve">x  Not Applicable
</t>
        </r>
      </text>
    </comment>
    <comment ref="AC41" authorId="0">
      <text>
        <r>
          <rPr>
            <sz val="8"/>
            <color indexed="81"/>
            <rFont val="Tahoma"/>
            <family val="2"/>
          </rPr>
          <t xml:space="preserve">x  Not Applicable
</t>
        </r>
      </text>
    </comment>
    <comment ref="AD41" authorId="0">
      <text>
        <r>
          <rPr>
            <sz val="8"/>
            <color indexed="81"/>
            <rFont val="Tahoma"/>
            <family val="2"/>
          </rPr>
          <t xml:space="preserve">x  Not Applicable
</t>
        </r>
      </text>
    </comment>
    <comment ref="AE41" authorId="0">
      <text>
        <r>
          <rPr>
            <sz val="8"/>
            <color indexed="81"/>
            <rFont val="Tahoma"/>
            <family val="2"/>
          </rPr>
          <t xml:space="preserve">x  Not Applicable
</t>
        </r>
      </text>
    </comment>
    <comment ref="D42" authorId="0">
      <text>
        <r>
          <rPr>
            <sz val="8"/>
            <color indexed="81"/>
            <rFont val="Tahoma"/>
            <family val="2"/>
          </rPr>
          <t xml:space="preserve">x  Not Applicable
</t>
        </r>
      </text>
    </comment>
    <comment ref="G42" authorId="0">
      <text>
        <r>
          <rPr>
            <sz val="8"/>
            <color indexed="81"/>
            <rFont val="Tahoma"/>
            <family val="2"/>
          </rPr>
          <t xml:space="preserve">x  Not Applicable
</t>
        </r>
      </text>
    </comment>
    <comment ref="H42" authorId="0">
      <text>
        <r>
          <rPr>
            <sz val="8"/>
            <color indexed="81"/>
            <rFont val="Tahoma"/>
            <family val="2"/>
          </rPr>
          <t xml:space="preserve">x  Not Applicable
</t>
        </r>
      </text>
    </comment>
    <comment ref="I42" authorId="0">
      <text>
        <r>
          <rPr>
            <sz val="8"/>
            <color indexed="81"/>
            <rFont val="Tahoma"/>
            <family val="2"/>
          </rPr>
          <t xml:space="preserve">x  Not Applicable
</t>
        </r>
      </text>
    </comment>
    <comment ref="J42" authorId="0">
      <text>
        <r>
          <rPr>
            <sz val="8"/>
            <color indexed="81"/>
            <rFont val="Tahoma"/>
            <family val="2"/>
          </rPr>
          <t xml:space="preserve">x  Not Applicable
</t>
        </r>
      </text>
    </comment>
    <comment ref="K42" authorId="0">
      <text>
        <r>
          <rPr>
            <sz val="8"/>
            <color indexed="81"/>
            <rFont val="Tahoma"/>
            <family val="2"/>
          </rPr>
          <t xml:space="preserve">x  Not Applicable
</t>
        </r>
      </text>
    </comment>
    <comment ref="M42" authorId="0">
      <text>
        <r>
          <rPr>
            <sz val="8"/>
            <color indexed="81"/>
            <rFont val="Tahoma"/>
            <family val="2"/>
          </rPr>
          <t xml:space="preserve">x  Not Applicable
</t>
        </r>
      </text>
    </comment>
    <comment ref="N42" authorId="0">
      <text>
        <r>
          <rPr>
            <sz val="8"/>
            <color indexed="81"/>
            <rFont val="Tahoma"/>
            <family val="2"/>
          </rPr>
          <t xml:space="preserve">x  Not Applicable
</t>
        </r>
      </text>
    </comment>
    <comment ref="O42" authorId="0">
      <text>
        <r>
          <rPr>
            <sz val="8"/>
            <color indexed="81"/>
            <rFont val="Tahoma"/>
            <family val="2"/>
          </rPr>
          <t xml:space="preserve">x  Not Applicable
</t>
        </r>
      </text>
    </comment>
    <comment ref="Q42" authorId="0">
      <text>
        <r>
          <rPr>
            <sz val="8"/>
            <color indexed="81"/>
            <rFont val="Tahoma"/>
            <family val="2"/>
          </rPr>
          <t xml:space="preserve">x  Not Applicable
</t>
        </r>
      </text>
    </comment>
    <comment ref="R42" authorId="0">
      <text>
        <r>
          <rPr>
            <sz val="8"/>
            <color indexed="81"/>
            <rFont val="Tahoma"/>
            <family val="2"/>
          </rPr>
          <t xml:space="preserve">x  Not Applicable
</t>
        </r>
      </text>
    </comment>
    <comment ref="S42" authorId="0">
      <text>
        <r>
          <rPr>
            <sz val="8"/>
            <color indexed="81"/>
            <rFont val="Tahoma"/>
            <family val="2"/>
          </rPr>
          <t xml:space="preserve">x  Not Applicable
</t>
        </r>
      </text>
    </comment>
    <comment ref="T42" authorId="0">
      <text>
        <r>
          <rPr>
            <sz val="8"/>
            <color indexed="81"/>
            <rFont val="Tahoma"/>
            <family val="2"/>
          </rPr>
          <t xml:space="preserve">x  Not Applicable
</t>
        </r>
      </text>
    </comment>
    <comment ref="U42" authorId="0">
      <text>
        <r>
          <rPr>
            <sz val="8"/>
            <color indexed="81"/>
            <rFont val="Tahoma"/>
            <family val="2"/>
          </rPr>
          <t xml:space="preserve">x  Not Applicable
</t>
        </r>
      </text>
    </comment>
    <comment ref="W42" authorId="0">
      <text>
        <r>
          <rPr>
            <sz val="8"/>
            <color indexed="81"/>
            <rFont val="Tahoma"/>
            <family val="2"/>
          </rPr>
          <t xml:space="preserve">x  Not Applicable
</t>
        </r>
      </text>
    </comment>
    <comment ref="X42" authorId="0">
      <text>
        <r>
          <rPr>
            <sz val="8"/>
            <color indexed="81"/>
            <rFont val="Tahoma"/>
            <family val="2"/>
          </rPr>
          <t xml:space="preserve">x  Not Applicable
</t>
        </r>
      </text>
    </comment>
    <comment ref="Y42" authorId="0">
      <text>
        <r>
          <rPr>
            <sz val="8"/>
            <color indexed="81"/>
            <rFont val="Tahoma"/>
            <family val="2"/>
          </rPr>
          <t xml:space="preserve">x  Not Applicable
</t>
        </r>
      </text>
    </comment>
    <comment ref="Z42" authorId="0">
      <text>
        <r>
          <rPr>
            <sz val="8"/>
            <color indexed="81"/>
            <rFont val="Tahoma"/>
            <family val="2"/>
          </rPr>
          <t xml:space="preserve">x  Not Applicable
</t>
        </r>
      </text>
    </comment>
    <comment ref="AA42" authorId="0">
      <text>
        <r>
          <rPr>
            <sz val="8"/>
            <color indexed="81"/>
            <rFont val="Tahoma"/>
            <family val="2"/>
          </rPr>
          <t xml:space="preserve">x  Not Applicable
</t>
        </r>
      </text>
    </comment>
    <comment ref="AB42" authorId="0">
      <text>
        <r>
          <rPr>
            <sz val="8"/>
            <color indexed="81"/>
            <rFont val="Tahoma"/>
            <family val="2"/>
          </rPr>
          <t xml:space="preserve">x  Not Applicable
</t>
        </r>
      </text>
    </comment>
    <comment ref="AD42" authorId="0">
      <text>
        <r>
          <rPr>
            <sz val="8"/>
            <color indexed="81"/>
            <rFont val="Tahoma"/>
            <family val="2"/>
          </rPr>
          <t xml:space="preserve">x  Not Applicable
</t>
        </r>
      </text>
    </comment>
    <comment ref="AE42" authorId="0">
      <text>
        <r>
          <rPr>
            <sz val="8"/>
            <color indexed="81"/>
            <rFont val="Tahoma"/>
            <family val="2"/>
          </rPr>
          <t xml:space="preserve">x  Not Applicable
</t>
        </r>
      </text>
    </comment>
    <comment ref="AF42" authorId="0">
      <text>
        <r>
          <rPr>
            <sz val="8"/>
            <color indexed="81"/>
            <rFont val="Tahoma"/>
            <family val="2"/>
          </rPr>
          <t xml:space="preserve">x  Not Applicable
</t>
        </r>
      </text>
    </comment>
    <comment ref="E44" authorId="0">
      <text>
        <r>
          <rPr>
            <sz val="8"/>
            <color indexed="81"/>
            <rFont val="Tahoma"/>
            <family val="2"/>
          </rPr>
          <t xml:space="preserve">x  Not Applicable
</t>
        </r>
      </text>
    </comment>
    <comment ref="M44" authorId="0">
      <text>
        <r>
          <rPr>
            <sz val="8"/>
            <color indexed="81"/>
            <rFont val="Tahoma"/>
            <family val="2"/>
          </rPr>
          <t xml:space="preserve">x  Not Applicable
</t>
        </r>
      </text>
    </comment>
    <comment ref="S44" authorId="0">
      <text>
        <r>
          <rPr>
            <sz val="8"/>
            <color indexed="81"/>
            <rFont val="Tahoma"/>
            <family val="2"/>
          </rPr>
          <t xml:space="preserve">x  Not Applicable
</t>
        </r>
      </text>
    </comment>
    <comment ref="T44" authorId="0">
      <text>
        <r>
          <rPr>
            <sz val="8"/>
            <color indexed="81"/>
            <rFont val="Tahoma"/>
            <family val="2"/>
          </rPr>
          <t xml:space="preserve">x  Not Applicable
</t>
        </r>
      </text>
    </comment>
    <comment ref="AE44" authorId="0">
      <text>
        <r>
          <rPr>
            <sz val="8"/>
            <color indexed="81"/>
            <rFont val="Tahoma"/>
            <family val="2"/>
          </rPr>
          <t xml:space="preserve">x  Not Applicable
</t>
        </r>
      </text>
    </comment>
  </commentList>
</comments>
</file>

<file path=xl/sharedStrings.xml><?xml version="1.0" encoding="utf-8"?>
<sst xmlns="http://schemas.openxmlformats.org/spreadsheetml/2006/main" count="3805" uniqueCount="956">
  <si>
    <t>Value</t>
  </si>
  <si>
    <t>Unit</t>
  </si>
  <si>
    <t>%</t>
  </si>
  <si>
    <t>n/a</t>
  </si>
  <si>
    <t>Year</t>
  </si>
  <si>
    <t>Textiles</t>
  </si>
  <si>
    <t>Notes</t>
  </si>
  <si>
    <t>Data Year</t>
  </si>
  <si>
    <t>x</t>
  </si>
  <si>
    <t>Egypt</t>
  </si>
  <si>
    <t>CNG</t>
  </si>
  <si>
    <t>Fuel Conversions</t>
  </si>
  <si>
    <t>US Environmental Protection Agency. 2000. "Inventory of U.S. Greenhouse Gas Emissions and Sinks: 1990–1998: Annex Q." http://www.epa.gov/climatechange/emissions/downloads06/00CR.pdf</t>
  </si>
  <si>
    <t>Fuel</t>
  </si>
  <si>
    <t>1 kg = x Litres*</t>
  </si>
  <si>
    <t>Gas/diesel oil</t>
  </si>
  <si>
    <t>Motor gasoline</t>
  </si>
  <si>
    <t>Biodiesel (100%)</t>
  </si>
  <si>
    <t>Electricity</t>
  </si>
  <si>
    <t>Natural gas liquids</t>
  </si>
  <si>
    <t>Ethanol (100%)*</t>
  </si>
  <si>
    <t>Liquefied petroleum gases (LPG)</t>
  </si>
  <si>
    <t>Aviation gasoline</t>
  </si>
  <si>
    <t>Kerosene type jet fuel</t>
  </si>
  <si>
    <t>* CNG expressed in terms of kg, not Litres</t>
  </si>
  <si>
    <t>Default GHG Emissions Factors (IPCC 2006)</t>
  </si>
  <si>
    <t>International Panel on Climate Change. 2006. "2006 IPCC Guidelines for National Greenhouse Gas Inventories."  http://www.ipcc-nggip.iges.or.jp/public/2006gl/index.html</t>
  </si>
  <si>
    <t>CO2 Default kg / TJ</t>
  </si>
  <si>
    <t>CH4  Default kg / TJ</t>
  </si>
  <si>
    <t>N2O  Default kg / TJ</t>
  </si>
  <si>
    <t>CO2e Default kg / TJ</t>
  </si>
  <si>
    <t>Global Warming Potential</t>
  </si>
  <si>
    <t>Light Duty Vehicle; 1995 and later</t>
  </si>
  <si>
    <t>Average trucks &amp; cars</t>
  </si>
  <si>
    <t>* "Other Liquid Biofuels" value applied</t>
  </si>
  <si>
    <t>**Electricity consumption covered in another part of the CPF methodology</t>
  </si>
  <si>
    <t>Estimate; Not IPCC for CH4 and N20</t>
  </si>
  <si>
    <t>IEA Fuel Lower (Net) Heating Values</t>
  </si>
  <si>
    <t>International Energy Administration. 2008. "IEA World Energy Statistics and Balances" ISSN 1683-4240. http://lysander.sourceoecd.org.libproxy-wb.imf.org/vl=5267889/cl=24/nw=1/rpsv/statistic/s35_about.htm?jnlissn=16834240</t>
  </si>
  <si>
    <t>Fuel (2006/7 Heating Value KJ/KG)</t>
  </si>
  <si>
    <t>Albania</t>
  </si>
  <si>
    <t>Algeria</t>
  </si>
  <si>
    <t>Angola</t>
  </si>
  <si>
    <t>Argentina</t>
  </si>
  <si>
    <t>Armenia</t>
  </si>
  <si>
    <t>Australia</t>
  </si>
  <si>
    <t>Austria</t>
  </si>
  <si>
    <t>Azerbaijan</t>
  </si>
  <si>
    <t>Bahrain</t>
  </si>
  <si>
    <t>Bangladesh</t>
  </si>
  <si>
    <t>Belarus</t>
  </si>
  <si>
    <t>Belgium</t>
  </si>
  <si>
    <t>Benin</t>
  </si>
  <si>
    <t>Bolivia</t>
  </si>
  <si>
    <t>Bosnia and Herzegovina</t>
  </si>
  <si>
    <t>Botswana</t>
  </si>
  <si>
    <t>Brazil</t>
  </si>
  <si>
    <t>Brunei Darussalam</t>
  </si>
  <si>
    <t>Bulgaria</t>
  </si>
  <si>
    <t>Cambodia</t>
  </si>
  <si>
    <t>Cameroon</t>
  </si>
  <si>
    <t>Canada</t>
  </si>
  <si>
    <t>Chile</t>
  </si>
  <si>
    <t>Chinese Taipei</t>
  </si>
  <si>
    <t>Colombia</t>
  </si>
  <si>
    <t>Congo</t>
  </si>
  <si>
    <t>Costa Rica</t>
  </si>
  <si>
    <t>Côte d'Ivoire</t>
  </si>
  <si>
    <t>Croatia</t>
  </si>
  <si>
    <t>Cuba</t>
  </si>
  <si>
    <t>Cyprus</t>
  </si>
  <si>
    <t>Czech Republic</t>
  </si>
  <si>
    <t>Dem. People's Rep. of Korea</t>
  </si>
  <si>
    <t>Democratic Republic of Congo</t>
  </si>
  <si>
    <t>Denmark</t>
  </si>
  <si>
    <t>Dominican Republic</t>
  </si>
  <si>
    <t>Ecuador</t>
  </si>
  <si>
    <t>El Salvador</t>
  </si>
  <si>
    <t>Eritrea</t>
  </si>
  <si>
    <t>Estonia</t>
  </si>
  <si>
    <t>Ethiopia</t>
  </si>
  <si>
    <t>Finland</t>
  </si>
  <si>
    <t>Former Yugoslav Republic of Macedonia</t>
  </si>
  <si>
    <t>France</t>
  </si>
  <si>
    <t>Gabon</t>
  </si>
  <si>
    <t>Georgia</t>
  </si>
  <si>
    <t>Germany</t>
  </si>
  <si>
    <t>Ghana</t>
  </si>
  <si>
    <t>Gibraltar</t>
  </si>
  <si>
    <t>Greece</t>
  </si>
  <si>
    <t>Guatemala</t>
  </si>
  <si>
    <t>Haiti</t>
  </si>
  <si>
    <t>Honduras</t>
  </si>
  <si>
    <t>Hong Kong, China</t>
  </si>
  <si>
    <t>Hungary</t>
  </si>
  <si>
    <t>Iceland</t>
  </si>
  <si>
    <t>India</t>
  </si>
  <si>
    <t>Indonesia</t>
  </si>
  <si>
    <t>Iraq</t>
  </si>
  <si>
    <t>Ireland</t>
  </si>
  <si>
    <t>Islamic Republic of Iran</t>
  </si>
  <si>
    <t>Israel</t>
  </si>
  <si>
    <t>Italy</t>
  </si>
  <si>
    <t>Jamaica</t>
  </si>
  <si>
    <t>Japan</t>
  </si>
  <si>
    <t>Jordan</t>
  </si>
  <si>
    <t>Kazakhstan</t>
  </si>
  <si>
    <t>Kenya</t>
  </si>
  <si>
    <t>Korea</t>
  </si>
  <si>
    <t>Kuwait</t>
  </si>
  <si>
    <t>Kyrgyzstan</t>
  </si>
  <si>
    <t>Latvia</t>
  </si>
  <si>
    <t>Lebanon</t>
  </si>
  <si>
    <t>Libya</t>
  </si>
  <si>
    <t>Lithuania</t>
  </si>
  <si>
    <t>Luxembourg</t>
  </si>
  <si>
    <t>Malaysia</t>
  </si>
  <si>
    <t>Malta</t>
  </si>
  <si>
    <t>Mexico</t>
  </si>
  <si>
    <t>Mongolia</t>
  </si>
  <si>
    <t>Morocco</t>
  </si>
  <si>
    <t>Mozambique</t>
  </si>
  <si>
    <t>Myanmar</t>
  </si>
  <si>
    <t>Namibia</t>
  </si>
  <si>
    <t>Nepal</t>
  </si>
  <si>
    <t>Netherlands</t>
  </si>
  <si>
    <t>Netherlands Antilles</t>
  </si>
  <si>
    <t>New Zealand</t>
  </si>
  <si>
    <t>Nicaragua</t>
  </si>
  <si>
    <t>Nigeria</t>
  </si>
  <si>
    <t>Norway</t>
  </si>
  <si>
    <t>Oman</t>
  </si>
  <si>
    <t>Pakistan</t>
  </si>
  <si>
    <t>Panama</t>
  </si>
  <si>
    <t>Paraguay</t>
  </si>
  <si>
    <t>People's Republic of China</t>
  </si>
  <si>
    <t>Peru</t>
  </si>
  <si>
    <t>Philippines</t>
  </si>
  <si>
    <t>Poland</t>
  </si>
  <si>
    <t>Portugal</t>
  </si>
  <si>
    <t>Qatar</t>
  </si>
  <si>
    <t>Republic of Moldova</t>
  </si>
  <si>
    <t>Romania</t>
  </si>
  <si>
    <t>Russia</t>
  </si>
  <si>
    <t>Saudi Arabia</t>
  </si>
  <si>
    <t>Senegal</t>
  </si>
  <si>
    <t>Serbia</t>
  </si>
  <si>
    <t>Singapore</t>
  </si>
  <si>
    <t>Slovak Republic</t>
  </si>
  <si>
    <t>Slovenia</t>
  </si>
  <si>
    <t>South Africa</t>
  </si>
  <si>
    <t>Spain</t>
  </si>
  <si>
    <t>Sri Lanka</t>
  </si>
  <si>
    <t>Sudan</t>
  </si>
  <si>
    <t>Sweden</t>
  </si>
  <si>
    <t>Switzerland</t>
  </si>
  <si>
    <t>Syria</t>
  </si>
  <si>
    <t>Tajikistan</t>
  </si>
  <si>
    <t>Thailand</t>
  </si>
  <si>
    <t>Togo</t>
  </si>
  <si>
    <t>Trinidad and Tobago</t>
  </si>
  <si>
    <t>Tunisia</t>
  </si>
  <si>
    <t>Turkey</t>
  </si>
  <si>
    <t>Turkmenistan</t>
  </si>
  <si>
    <t>Ukraine</t>
  </si>
  <si>
    <t>United Arab Emirates</t>
  </si>
  <si>
    <t>United Kingdom</t>
  </si>
  <si>
    <t>United Republic of Tanzania</t>
  </si>
  <si>
    <t>United States</t>
  </si>
  <si>
    <t>Uruguay</t>
  </si>
  <si>
    <t>Uzbekistan</t>
  </si>
  <si>
    <t>Venezuela</t>
  </si>
  <si>
    <t>Vietnam</t>
  </si>
  <si>
    <t>Yemen</t>
  </si>
  <si>
    <t>Zambia</t>
  </si>
  <si>
    <t>Zimbabwe</t>
  </si>
  <si>
    <t>Other Africa</t>
  </si>
  <si>
    <t>Other Asia</t>
  </si>
  <si>
    <t>Other Latin America</t>
  </si>
  <si>
    <t>http://www.afdc.energy.gov/afdc/fuels/properties.html</t>
  </si>
  <si>
    <t>International Energy Administration. 2008. "CO2 Emissions from Fuel Combustion" ISSN 1683-4291. http://lysander.sourceoecd.org.libproxy-wb.imf.org/vl=1376909/cl=15/nw=1/rpsv/statistic/s26_about.htm?jnlissn=16834291</t>
  </si>
  <si>
    <t>County</t>
  </si>
  <si>
    <t>CO2e per kWh</t>
  </si>
  <si>
    <t>World</t>
  </si>
  <si>
    <t>OECD North America</t>
  </si>
  <si>
    <t>OECD Pacific</t>
  </si>
  <si>
    <t>OECD Europe</t>
  </si>
  <si>
    <t>Africa</t>
  </si>
  <si>
    <t>Latin America</t>
  </si>
  <si>
    <t>Middle East</t>
  </si>
  <si>
    <t>Non-OECD Europe</t>
  </si>
  <si>
    <t>Former USSR</t>
  </si>
  <si>
    <t>Asia (excluding China)</t>
  </si>
  <si>
    <t>Dem. People's Republic of Korea</t>
  </si>
  <si>
    <t>FYR of Macedonia</t>
  </si>
  <si>
    <t xml:space="preserve">Slovenia </t>
  </si>
  <si>
    <t>Electricity Emissions Factor (kg CO2e per kWh) by Country</t>
  </si>
  <si>
    <t>Fuel Type</t>
  </si>
  <si>
    <t>Heating Values (kJ/kg)</t>
  </si>
  <si>
    <t xml:space="preserve">*Electricity emissions factor in terms of kg CO2e per kWh; Default = IEA Country Electricity Emissions Factor. May be manually adjusted. </t>
  </si>
  <si>
    <t>Countries</t>
  </si>
  <si>
    <t>Electricity*</t>
  </si>
  <si>
    <t>National Heating Values, Carbon Content of Fuel Defaults, and Fuel Volumes</t>
  </si>
  <si>
    <t>Fuel Volume (1 kg = x Litres*)</t>
  </si>
  <si>
    <t>Carbon Content of Fuel per Liter Combusted</t>
  </si>
  <si>
    <t>kg CO2e per Liter</t>
  </si>
  <si>
    <t>(kg CO2e per kg)</t>
  </si>
  <si>
    <t>(kg CO2e per kWh)</t>
  </si>
  <si>
    <t>Country</t>
  </si>
  <si>
    <t>(select from list)</t>
  </si>
  <si>
    <t>Units</t>
  </si>
  <si>
    <t>kg</t>
  </si>
  <si>
    <t>liters</t>
  </si>
  <si>
    <t>kWh</t>
  </si>
  <si>
    <t>other (please enter)</t>
  </si>
  <si>
    <t>Uncertainty</t>
  </si>
  <si>
    <t>high</t>
  </si>
  <si>
    <t>medium</t>
  </si>
  <si>
    <t>low</t>
  </si>
  <si>
    <t>Uncertainty Justification (Qualitative)</t>
  </si>
  <si>
    <t>Description of Boundary (Qualitative)</t>
  </si>
  <si>
    <t>Ethanol (100%)</t>
  </si>
  <si>
    <t>Vehicle Types</t>
  </si>
  <si>
    <t>Light Truck</t>
  </si>
  <si>
    <t>Heavy Truck</t>
  </si>
  <si>
    <t>Taxi</t>
  </si>
  <si>
    <t>Mass Transit Microbus (8-15 seated passengers)</t>
  </si>
  <si>
    <t>Mass Transit Bus - Small (15-30 seated passengers)</t>
  </si>
  <si>
    <t>Mass Transit Bus - Medium (30-50 seated passengers)</t>
  </si>
  <si>
    <t>Mass Transit Bus - Large (&gt;50 seated passengers)</t>
  </si>
  <si>
    <t>Electric-Based Light Mass Transit (e.g., LRT; Streetcar)</t>
  </si>
  <si>
    <t>Electric-Based Heavy Rail (Locomotive + 1 car)</t>
  </si>
  <si>
    <t>Diesel Rail-Based Vehicle (Locomotive + 1 car)</t>
  </si>
  <si>
    <t>Passenger Car</t>
  </si>
  <si>
    <t>Passenger Van</t>
  </si>
  <si>
    <t>Motor-taxi</t>
  </si>
  <si>
    <t>Motorcycle / Scooter</t>
  </si>
  <si>
    <t xml:space="preserve">Unit </t>
  </si>
  <si>
    <t xml:space="preserve">Uncertainty Level </t>
  </si>
  <si>
    <t>Citywide Fuel Consumption / Sales</t>
  </si>
  <si>
    <t>Data Source(s)</t>
  </si>
  <si>
    <t>Fuel Economy Units</t>
  </si>
  <si>
    <t>kWh/km</t>
  </si>
  <si>
    <t>Example</t>
  </si>
  <si>
    <t>L/km</t>
  </si>
  <si>
    <t>kg/km</t>
  </si>
  <si>
    <t>Data Validation Lists</t>
  </si>
  <si>
    <t>L</t>
  </si>
  <si>
    <t>Drop-Down Menu</t>
  </si>
  <si>
    <t>Automatically Calculated</t>
  </si>
  <si>
    <t>Input Data</t>
  </si>
  <si>
    <t>Key</t>
  </si>
  <si>
    <t>TOTAL</t>
  </si>
  <si>
    <t>Region</t>
  </si>
  <si>
    <t>Regions</t>
  </si>
  <si>
    <t>Eastern Asia</t>
  </si>
  <si>
    <t>South-Central Asia</t>
  </si>
  <si>
    <t>South-Eastern Asia</t>
  </si>
  <si>
    <t>Western Asia &amp; Middle East</t>
  </si>
  <si>
    <t>Eastern Africa</t>
  </si>
  <si>
    <t>Middle Africa</t>
  </si>
  <si>
    <t>Northern Africa</t>
  </si>
  <si>
    <t>Southern Africa</t>
  </si>
  <si>
    <t>Western Africa</t>
  </si>
  <si>
    <t>Eastern Europe</t>
  </si>
  <si>
    <t>Northern Europe</t>
  </si>
  <si>
    <t>Southern Europe</t>
  </si>
  <si>
    <t>Western Europe</t>
  </si>
  <si>
    <t>Australia and New Zealand</t>
  </si>
  <si>
    <t>Rest of Oceania</t>
  </si>
  <si>
    <t>North America</t>
  </si>
  <si>
    <t>Central America</t>
  </si>
  <si>
    <t>South America</t>
  </si>
  <si>
    <t>Caribbean</t>
  </si>
  <si>
    <t>Food Waste</t>
  </si>
  <si>
    <t>Paper / Cardboard</t>
  </si>
  <si>
    <t>Wood</t>
  </si>
  <si>
    <t>Rubber/Leather</t>
  </si>
  <si>
    <t>Plastic</t>
  </si>
  <si>
    <t>Metal</t>
  </si>
  <si>
    <t>Glass</t>
  </si>
  <si>
    <t>Other</t>
  </si>
  <si>
    <t>Municipal Solid Waste Composition Data by Percent -- Regional Defaults</t>
  </si>
  <si>
    <t>Regional Defaults</t>
  </si>
  <si>
    <t>Use Local Data</t>
  </si>
  <si>
    <t>Waste Type</t>
  </si>
  <si>
    <t>Total (%)</t>
  </si>
  <si>
    <t>Regional Default (%)</t>
  </si>
  <si>
    <t>Local Values (%) (Optional)</t>
  </si>
  <si>
    <t xml:space="preserve">Annual Average Temperature </t>
  </si>
  <si>
    <t>Average Annual Precipitation</t>
  </si>
  <si>
    <t>mm</t>
  </si>
  <si>
    <t>Classification of Waste (Humidity-Based)</t>
  </si>
  <si>
    <t>Factor</t>
  </si>
  <si>
    <t xml:space="preserve">Local Climate Conditions </t>
  </si>
  <si>
    <t>degrees Celsius</t>
  </si>
  <si>
    <t>Temperature</t>
  </si>
  <si>
    <t>Rainfall</t>
  </si>
  <si>
    <t>&lt;20</t>
  </si>
  <si>
    <t>&gt;20</t>
  </si>
  <si>
    <t>&lt;1000</t>
  </si>
  <si>
    <t>&gt;1000</t>
  </si>
  <si>
    <t>Waste Classification</t>
  </si>
  <si>
    <t xml:space="preserve">Wet </t>
  </si>
  <si>
    <t>Dry</t>
  </si>
  <si>
    <t>(wet or dry)</t>
  </si>
  <si>
    <t>Covered / Uncovered</t>
  </si>
  <si>
    <t>Oxidation Factor</t>
  </si>
  <si>
    <t>Coverd Waste Disposal Site</t>
  </si>
  <si>
    <t>Uncovered Waste Disposal Site</t>
  </si>
  <si>
    <t>Site Type</t>
  </si>
  <si>
    <t>Methane Correction Factor</t>
  </si>
  <si>
    <t xml:space="preserve">Anaerobic Managed Solid Waste </t>
  </si>
  <si>
    <t>Semi-Aerobic Managed Solid Waste</t>
  </si>
  <si>
    <t>Unmanaged Solid Waste (Shallow)</t>
  </si>
  <si>
    <t>Unmanaged Solid Waste (Deep)</t>
  </si>
  <si>
    <t>Details</t>
  </si>
  <si>
    <t>Must have controlled pacement of waste (i.e., waste directed to specific deposition areas, a degree of cntrol over scavenging and a degree of control of fires) and will include at least one of the following: (i) cover material; (ii) mechanical compacting; or (iii) leveling of the waste.</t>
  </si>
  <si>
    <t>Must have controlled placement of waste and will include all of the following structures for introducing air to waste layer: (i) permeable cover material; (ii) leachate drainage system; (iii) regulating pondage; and (iv) gas ventilation system.</t>
  </si>
  <si>
    <t>This comprises all solid waste disposal sites not meeting criteria of managed sitesand which had depths of greater than or equal to 5 meters and/or high water table at near ground level. Latter situation corresponds to filling inland water,such as pond, river or wetland, by waste.</t>
  </si>
  <si>
    <t xml:space="preserve">This comprises all solid waste dispisal sitres not meeting criteria of managed sites and which have depths of less than 5 meters. </t>
  </si>
  <si>
    <t>Proportion of Degradable Organic Carbon (by weight) by Waste Type</t>
  </si>
  <si>
    <t>DOC (% Wet Waste)</t>
  </si>
  <si>
    <t>DOC (% Dry Waste)</t>
  </si>
  <si>
    <t>Decay Rates by Waste Type</t>
  </si>
  <si>
    <t>Other Default Parameters</t>
  </si>
  <si>
    <t>Parameter</t>
  </si>
  <si>
    <t>Model correction for uncertainty</t>
  </si>
  <si>
    <t>UNFCCC. EB26 Meeting Report; Annex 14. "Tool to Determine Methane Emissions Avoided from Dumping Waste at a Solid Waste Disposal Site"</t>
  </si>
  <si>
    <t>Fraction of methane in SWDS</t>
  </si>
  <si>
    <t>Fraction of degradable DOC that can decompose</t>
  </si>
  <si>
    <t>Site Name</t>
  </si>
  <si>
    <t>Location</t>
  </si>
  <si>
    <t>Within Municipal Boundary?</t>
  </si>
  <si>
    <t>Est. Percentage Municipal Waste</t>
  </si>
  <si>
    <t>Facility Type</t>
  </si>
  <si>
    <t>Yes/No</t>
  </si>
  <si>
    <t>Yes</t>
  </si>
  <si>
    <t>No</t>
  </si>
  <si>
    <t>Covered</t>
  </si>
  <si>
    <t>Unsure</t>
  </si>
  <si>
    <t>Annual Electricty Consumption (kWh)</t>
  </si>
  <si>
    <t>Average Annual Tons of Municipal Waste</t>
  </si>
  <si>
    <t>Annual Waste (Tons)</t>
  </si>
  <si>
    <t>% Methane Captured with Methane Capture</t>
  </si>
  <si>
    <t>World Bank Assumption</t>
  </si>
  <si>
    <t>Methane Capture Factor</t>
  </si>
  <si>
    <t>DOC</t>
  </si>
  <si>
    <t>Decay Rate</t>
  </si>
  <si>
    <t>Tons Waste</t>
  </si>
  <si>
    <t>&lt;20&lt;1000</t>
  </si>
  <si>
    <t>&lt;20&gt;1000</t>
  </si>
  <si>
    <t>&gt;20&lt;1000</t>
  </si>
  <si>
    <t>&gt;20&gt;1000</t>
  </si>
  <si>
    <t>Sub-Calculation</t>
  </si>
  <si>
    <t>Est. Tons Annual Waste</t>
  </si>
  <si>
    <t>Methane Flared / Captured? (Yes/No)</t>
  </si>
  <si>
    <t>Methane Converted to Energy? (Yes/No)</t>
  </si>
  <si>
    <t>kg CO2e/kWh (default electricity emissions factor)</t>
  </si>
  <si>
    <t>Emissions from Energy Consumption (tons CO2e)</t>
  </si>
  <si>
    <t>Emissions (Tons CO2e)</t>
  </si>
  <si>
    <t>If Methane Converted - Annual Generation (kWh)</t>
  </si>
  <si>
    <t>Emissions Offset by Energy Production (tons CO2e)</t>
  </si>
  <si>
    <t>Solid Waste Reference</t>
  </si>
  <si>
    <t>Water and Wastewater Reference</t>
  </si>
  <si>
    <t>Septic system</t>
  </si>
  <si>
    <t>International Panel on Climate Change. 2006. "2006 IPCC Guidelines for National Greenhouse Gas Inventories."  Table 6.4. http://www.ipcc-nggip.iges.or.jp/public/2006gl/index.html</t>
  </si>
  <si>
    <t>Country / Region</t>
  </si>
  <si>
    <t>Range</t>
  </si>
  <si>
    <t>Asia, Middle East, Latin America</t>
  </si>
  <si>
    <t>West Bank and Gaza Strip</t>
  </si>
  <si>
    <t>Canada, Europe, Russia, Oceania</t>
  </si>
  <si>
    <t>35-45</t>
  </si>
  <si>
    <t>27-41</t>
  </si>
  <si>
    <t>32-68</t>
  </si>
  <si>
    <t>40-45</t>
  </si>
  <si>
    <t>45-55</t>
  </si>
  <si>
    <t>50-70</t>
  </si>
  <si>
    <t>55-68</t>
  </si>
  <si>
    <t>55-60</t>
  </si>
  <si>
    <t>49-60</t>
  </si>
  <si>
    <t>68-82</t>
  </si>
  <si>
    <t>27-50</t>
  </si>
  <si>
    <t>50-120</t>
  </si>
  <si>
    <t>Default Maximum Methane Producing Capacity (B0) for Domestic Wastewater</t>
  </si>
  <si>
    <t>International Panel on Climate Change. 2006. "2006 IPCC Guidelines for National Greenhouse Gas Inventories."  Table 6.2. http://www.ipcc-nggip.iges.or.jp/public/2006gl/index.html</t>
  </si>
  <si>
    <t>BOD</t>
  </si>
  <si>
    <t>kg methane/kg BOD</t>
  </si>
  <si>
    <t>Default Methane Capture Factor (MCF) Values for Domestic Wastewater</t>
  </si>
  <si>
    <t>International Panel on Climate Change. 2006. "2006 IPCC Guidelines for National Greenhouse Gas Inventories."  Table 6.3. http://www.ipcc-nggip.iges.or.jp/public/2006gl/index.html</t>
  </si>
  <si>
    <t>Type of Treatement/Discharge System</t>
  </si>
  <si>
    <t>Comments</t>
  </si>
  <si>
    <t>MCF</t>
  </si>
  <si>
    <t>Sea, river, lake discharge</t>
  </si>
  <si>
    <t>Stagnant river</t>
  </si>
  <si>
    <t>Flowing sewer (open or closed)</t>
  </si>
  <si>
    <t>Treated System</t>
  </si>
  <si>
    <t>Untreated System</t>
  </si>
  <si>
    <t>Centralized, aerobic trearment plant (well managed)</t>
  </si>
  <si>
    <t>Centralized, aerobic trearment plant (not well managed)</t>
  </si>
  <si>
    <t>Anaeerobic digester for sludge</t>
  </si>
  <si>
    <t>Anerobic reactor</t>
  </si>
  <si>
    <t>Anaerobic shallow lagoon</t>
  </si>
  <si>
    <t>Anaerobic deep lagoon</t>
  </si>
  <si>
    <t>Latrine (dry climate, 3-5 users)</t>
  </si>
  <si>
    <t>Latrine (dry climate,many users)</t>
  </si>
  <si>
    <t>Latrine (wet climate)</t>
  </si>
  <si>
    <t>Latrine (regular sediment removal for fertilizer)</t>
  </si>
  <si>
    <t>0-0.2</t>
  </si>
  <si>
    <t>0.4-0.8</t>
  </si>
  <si>
    <t>0-0.1</t>
  </si>
  <si>
    <t>.05-.15</t>
  </si>
  <si>
    <t>0.7-1.0</t>
  </si>
  <si>
    <t>0.4-0.6</t>
  </si>
  <si>
    <t>0.8-1.0</t>
  </si>
  <si>
    <t>0-0.3</t>
  </si>
  <si>
    <t>0.2-0.4</t>
  </si>
  <si>
    <t>Rivers with high organices loadings can turn anaerobic</t>
  </si>
  <si>
    <t>Open and warm</t>
  </si>
  <si>
    <t>Fast moving, clean (insignificant amounts of methane from pump stations, etc.)</t>
  </si>
  <si>
    <t>Must be well managed. Some methane cam be emitted from settling basins and other pockets</t>
  </si>
  <si>
    <t>Not well managed. Overloaded.</t>
  </si>
  <si>
    <t>Methane recovery not considered</t>
  </si>
  <si>
    <t>Methane recovery no considered</t>
  </si>
  <si>
    <t>Depth less than 2 meters</t>
  </si>
  <si>
    <t>Depth more than 2 meters</t>
  </si>
  <si>
    <t>Half of BOD settles in anerobic tank</t>
  </si>
  <si>
    <t>Dry climate, ground water table lower than latrine, small family (3-5 users)</t>
  </si>
  <si>
    <t>Dry climate, ground water table lower than latrine, communal (many users)</t>
  </si>
  <si>
    <t>Wet climate/flush water use, ground water table higher than latrine</t>
  </si>
  <si>
    <t>Regular sediment removal for fertilizer</t>
  </si>
  <si>
    <t>Proportion of High versus Low Income Urban Population - Default Values</t>
  </si>
  <si>
    <t>Asia</t>
  </si>
  <si>
    <t>China</t>
  </si>
  <si>
    <t>Derived from: International Panel on Climate Change. 2006. "2006 IPCC Guidelines for National Greenhouse Gas Inventories."  Table 6.5. http://www.ipcc-nggip.iges.or.jp/public/2006gl/index.html</t>
  </si>
  <si>
    <t>Europe</t>
  </si>
  <si>
    <t xml:space="preserve">Latin America </t>
  </si>
  <si>
    <t>Oceania</t>
  </si>
  <si>
    <t>Urban High</t>
  </si>
  <si>
    <t>Urban Low</t>
  </si>
  <si>
    <t>Rural</t>
  </si>
  <si>
    <t>Urban High (City Only)</t>
  </si>
  <si>
    <t>Urban Low (City Only)</t>
  </si>
  <si>
    <t>UHSeptic Tank</t>
  </si>
  <si>
    <t>UHLatrine</t>
  </si>
  <si>
    <t>UHOther</t>
  </si>
  <si>
    <t>UHSewer</t>
  </si>
  <si>
    <t>UHNone</t>
  </si>
  <si>
    <t>ULSeptic Tank</t>
  </si>
  <si>
    <t>ULLatrine</t>
  </si>
  <si>
    <t>ULOther</t>
  </si>
  <si>
    <t>ULSewer</t>
  </si>
  <si>
    <t>ULNone</t>
  </si>
  <si>
    <t>Rseptic Tank</t>
  </si>
  <si>
    <t>Rlatrine</t>
  </si>
  <si>
    <t>Rother</t>
  </si>
  <si>
    <t>Rsewer</t>
  </si>
  <si>
    <t>Rnone</t>
  </si>
  <si>
    <t>R = Rural; UL = Urban Low Income; UH = Urban High Income</t>
  </si>
  <si>
    <t>Countries (All)</t>
  </si>
  <si>
    <t>Regions/Countries</t>
  </si>
  <si>
    <t>Countries (Selection)</t>
  </si>
  <si>
    <t>Default biodegradable organics (BODs) in wastewater (g/person/day)</t>
  </si>
  <si>
    <t>Default % urban population that is medium/high income</t>
  </si>
  <si>
    <t>Default % urban population that is medium/low income</t>
  </si>
  <si>
    <t>City Characteristics</t>
  </si>
  <si>
    <t xml:space="preserve">Urban Population </t>
  </si>
  <si>
    <t>Poplulation Year</t>
  </si>
  <si>
    <t>Data Source</t>
  </si>
  <si>
    <t>Description of the Boundary</t>
  </si>
  <si>
    <t>Population</t>
  </si>
  <si>
    <t>BOD (kg/person/day)</t>
  </si>
  <si>
    <t>Days per Year</t>
  </si>
  <si>
    <t>Correction Factor Default</t>
  </si>
  <si>
    <t>TOW (kg)</t>
  </si>
  <si>
    <t>Total Organically Degradable Material in Domestic Wastewater (TOW)</t>
  </si>
  <si>
    <t>Emissions Factors</t>
  </si>
  <si>
    <t>Treatment System ID</t>
  </si>
  <si>
    <t>Treatment System Type</t>
  </si>
  <si>
    <t>Treatment Systems</t>
  </si>
  <si>
    <t>Emissions Factor</t>
  </si>
  <si>
    <t>Urban High Income</t>
  </si>
  <si>
    <t>Urban Low Income</t>
  </si>
  <si>
    <t>Septic Tank</t>
  </si>
  <si>
    <t>Sewer</t>
  </si>
  <si>
    <t>None</t>
  </si>
  <si>
    <t>Step 1</t>
  </si>
  <si>
    <t>Simplified Classification</t>
  </si>
  <si>
    <t>Septic</t>
  </si>
  <si>
    <t>Latrine</t>
  </si>
  <si>
    <t>Degree of Utilization</t>
  </si>
  <si>
    <t>Default degree of utilization</t>
  </si>
  <si>
    <t>Step 2</t>
  </si>
  <si>
    <t>Estimated Biodegradable Organics (BODs) Values in Domestic Wasterwater for Selected Regions and Countries</t>
  </si>
  <si>
    <t>Default BODs (g/person/day)</t>
  </si>
  <si>
    <t>Step 1 Product</t>
  </si>
  <si>
    <t>Global Warming Potential of Methane</t>
  </si>
  <si>
    <t>Emissions Calculations from Waste Gases</t>
  </si>
  <si>
    <t>Population %</t>
  </si>
  <si>
    <t>Product (population % * EF * Utilization)</t>
  </si>
  <si>
    <t>Total GHG Emissions</t>
  </si>
  <si>
    <t>Total Organics in Wastewater (TOW) (kg BOD)</t>
  </si>
  <si>
    <t>Tons CO2e</t>
  </si>
  <si>
    <t>Tons CO2e in Given Year</t>
  </si>
  <si>
    <t>International Panel on Climate Change. 2006. "2006 IPCC Guidelines for National Greenhouse Gas Inventories."  Tables 2.2-2.5. http://www.ipcc-nggip.iges.or.jp/public/2006gl/index.html</t>
  </si>
  <si>
    <t>IPCC Default Emissions Factors for Stationary Combustion - Energy Industries</t>
  </si>
  <si>
    <t>GWP</t>
  </si>
  <si>
    <t>Crude Oil</t>
  </si>
  <si>
    <t>Orimulsion</t>
  </si>
  <si>
    <t>Natural Gas Liquids</t>
  </si>
  <si>
    <t>Motor Gasoline</t>
  </si>
  <si>
    <t>Aviation Gasoline</t>
  </si>
  <si>
    <t>Jet Gasoline</t>
  </si>
  <si>
    <t>Jet Kerosene</t>
  </si>
  <si>
    <t>Other Kerosene</t>
  </si>
  <si>
    <t>Shale Oil</t>
  </si>
  <si>
    <t>Gas/Diesel Oil</t>
  </si>
  <si>
    <t>Residual Fuel Oil</t>
  </si>
  <si>
    <t>Liquified Petroleum Gases</t>
  </si>
  <si>
    <t>Ethane</t>
  </si>
  <si>
    <t>Naptha</t>
  </si>
  <si>
    <t>Bitumen</t>
  </si>
  <si>
    <t>Lubricants</t>
  </si>
  <si>
    <t>Petroleum Coke</t>
  </si>
  <si>
    <t>Refinery Feedstocks</t>
  </si>
  <si>
    <t>Refinery Gas</t>
  </si>
  <si>
    <t>Paraffin Waxes</t>
  </si>
  <si>
    <t>White Spirit SBP</t>
  </si>
  <si>
    <t>Other Petroleum Products</t>
  </si>
  <si>
    <t>Anthracite</t>
  </si>
  <si>
    <t>Coking Coal</t>
  </si>
  <si>
    <t>Other Bituminous Coal</t>
  </si>
  <si>
    <t>Sub-Bituminous Coal</t>
  </si>
  <si>
    <t>Lignite</t>
  </si>
  <si>
    <t>Oil Shale and Tar Sands</t>
  </si>
  <si>
    <t>Brown Coal Briquettes</t>
  </si>
  <si>
    <t>Patent Fuel</t>
  </si>
  <si>
    <t>Coke OvenCoke and Lignite</t>
  </si>
  <si>
    <t>Coal Tar</t>
  </si>
  <si>
    <t>Gas Works Gas</t>
  </si>
  <si>
    <t>Coke Oven Gas</t>
  </si>
  <si>
    <t>Blast Furnace Gas</t>
  </si>
  <si>
    <t>Oxygen Steel Furnace Gas</t>
  </si>
  <si>
    <t>Municipal Wastes (non-bio)</t>
  </si>
  <si>
    <t>Industrial Wastes</t>
  </si>
  <si>
    <t>Waste Oils</t>
  </si>
  <si>
    <t>Peat</t>
  </si>
  <si>
    <t>Sulphite Lyes</t>
  </si>
  <si>
    <t>Other Primary Biomass</t>
  </si>
  <si>
    <t>Charcoal</t>
  </si>
  <si>
    <t>Biogasoline</t>
  </si>
  <si>
    <t>Biodiesels</t>
  </si>
  <si>
    <t>Other Liquid Biofuels</t>
  </si>
  <si>
    <t>Landfill Gas</t>
  </si>
  <si>
    <t>Sludge Gas</t>
  </si>
  <si>
    <t>Other Biogas</t>
  </si>
  <si>
    <t>Municipal Wates (bio)</t>
  </si>
  <si>
    <t>Gas Coke</t>
  </si>
  <si>
    <t>CO2 (kg/TJ)</t>
  </si>
  <si>
    <t>CH4 (kg/TJ)</t>
  </si>
  <si>
    <t>N20 (kg/TJ)</t>
  </si>
  <si>
    <t>CO2e (kg/TJ)</t>
  </si>
  <si>
    <t>Fuels combusted in manufacturing and industry processes -- does not include electricity provided through the grid</t>
  </si>
  <si>
    <t>On-Site Fuel Combustion (type)</t>
  </si>
  <si>
    <t>On-Site Annual Fuel Combustion (TJ)</t>
  </si>
  <si>
    <t>Waste Gas Emissions Factor</t>
  </si>
  <si>
    <t>On-Site Fuel Combustion Emissions Factor</t>
  </si>
  <si>
    <t>Emissions from Waste Gas</t>
  </si>
  <si>
    <t>Emissions from On-Site Annual Fuel Combustion (Tons CO2e)</t>
  </si>
  <si>
    <t>ISIC Divisions: 41,50,51,52,55,63-67,70-75,80,85,90-93,99</t>
  </si>
  <si>
    <t>ISIC Divisions: 13,14,15,16,17,18,19,20,21,22,24,25,26,28,29,30,31,32,33,34,35,36,37,45; Group 271 Class 2731; Group 272 Class 2731</t>
  </si>
  <si>
    <t>Fuels combusted in commerical and institutional buildings -- does not include electricity provided from the grid</t>
  </si>
  <si>
    <t>kg CO2e/kWh (default national electricity emissions factor)</t>
  </si>
  <si>
    <t>Examples: Iron and steel; chemicals; food processing; machinery; mining; construction; textiles; water and wastewater treatment; solid waste treatment (double-counting from other Workbook Tabs)</t>
  </si>
  <si>
    <t>Stationary Combustion and Electricty Usage</t>
  </si>
  <si>
    <t>IPCC Default Emissions Factors for Stationary Combustion - Manufacturing Industries and Construction</t>
  </si>
  <si>
    <t>Default Emissions Factor or Average from Method 1</t>
  </si>
  <si>
    <t>IPCC Default Emissions Factors for Stationary Combustion - Commercial / Institutional</t>
  </si>
  <si>
    <t>IPCC Default Emissions Factors for Stationary Combustion - Residential</t>
  </si>
  <si>
    <t>Total</t>
  </si>
  <si>
    <t>Degree of Utilization of Treatment or Discharge System for Each Income Group</t>
  </si>
  <si>
    <t>Developed with the support of an AusAid Grant for the East Asia and Pacific Region Sustainable Urban Energy Project</t>
  </si>
  <si>
    <t xml:space="preserve">Significant emphasis has been placed on providing descriptions of data sources, years, implied boundaries, and quality of the data. The purpose of these entries is to support the auditability of the emissions inventory --  a pre-requisite to supporting the identification of carbon finance projects or leveraging similar climate finance mechanisms. </t>
  </si>
  <si>
    <t>Surabaya in Figures</t>
  </si>
  <si>
    <t>Surabaya City</t>
  </si>
  <si>
    <t>Cleansing and Park Agency (DKP)</t>
  </si>
  <si>
    <t>State Oil Company (PERTAMINA)</t>
  </si>
  <si>
    <t>Cleansing and Park Department (DKP)</t>
  </si>
  <si>
    <t>`</t>
  </si>
  <si>
    <t>kWh per TJ conversion factor</t>
  </si>
  <si>
    <t>Default Fuel Emissions Factor (kg CO2e/TJ)</t>
  </si>
  <si>
    <t>Annual kWh Electricity Consumed by Industrial Facilities within Municipal Boundary</t>
  </si>
  <si>
    <t>Annual kWh Electricity Consumed by Commercial Facilities within Municipal Boundary</t>
  </si>
  <si>
    <t>Annual kWh Electricity Consumed by Residences within Municipal Boundary</t>
  </si>
  <si>
    <t>tons CO2e</t>
  </si>
  <si>
    <t>Residential</t>
  </si>
  <si>
    <t>Commercial</t>
  </si>
  <si>
    <t>Industrial</t>
  </si>
  <si>
    <t>Gasoline</t>
  </si>
  <si>
    <t>source data in MT</t>
  </si>
  <si>
    <t>Diesel</t>
  </si>
  <si>
    <t>MT</t>
  </si>
  <si>
    <t>MT - Industrial</t>
  </si>
  <si>
    <t>MT - household</t>
  </si>
  <si>
    <t>PERTAMINA email</t>
  </si>
  <si>
    <t>State Oil Company (PERTAMINA) email</t>
  </si>
  <si>
    <t>Annual Purchased</t>
  </si>
  <si>
    <t>kL</t>
  </si>
  <si>
    <t>Natural Gas</t>
  </si>
  <si>
    <t>m3</t>
  </si>
  <si>
    <t>kJ/m3</t>
  </si>
  <si>
    <t>Energy Density</t>
  </si>
  <si>
    <t>Energy (MJ)</t>
  </si>
  <si>
    <t xml:space="preserve">Natural Gas Company </t>
  </si>
  <si>
    <t>LPG</t>
  </si>
  <si>
    <t>kg/m3</t>
  </si>
  <si>
    <t>MJ/m3</t>
  </si>
  <si>
    <t xml:space="preserve">Fuel Emissions Factor </t>
  </si>
  <si>
    <t>MJ/L</t>
  </si>
  <si>
    <t>kg CO2/ TJ</t>
  </si>
  <si>
    <t>MJ</t>
  </si>
  <si>
    <t>Energy Density (MJ/L)</t>
  </si>
  <si>
    <t>Surabaya -wide</t>
  </si>
  <si>
    <t>DKP land fill</t>
  </si>
  <si>
    <t>tons/day</t>
  </si>
  <si>
    <t>tons/year</t>
  </si>
  <si>
    <t>Energy Balance and GHG Inventory Spreadsheet</t>
  </si>
  <si>
    <t xml:space="preserve">The tool includes formulae and default values provided in the International Panel on Climate Change (IPCC) 2006 Guidelines for National Inventories -- the standard used by countries meeting emissions caps under the Kyoto Protocol and the basis for most UNFCCC Clean Development Mechanism methodologies. </t>
  </si>
  <si>
    <t>Transportation</t>
  </si>
  <si>
    <t>Urban Energy Balance Summary</t>
  </si>
  <si>
    <t>Municipal</t>
  </si>
  <si>
    <t xml:space="preserve">  1) By Sector (or End-Use)</t>
  </si>
  <si>
    <t>Energy Sold</t>
  </si>
  <si>
    <t>Primary Energy</t>
  </si>
  <si>
    <t xml:space="preserve">  2) By Sector (or End-Use)</t>
  </si>
  <si>
    <t xml:space="preserve">  3) By Primary Fuel Type</t>
  </si>
  <si>
    <t>Oil</t>
  </si>
  <si>
    <t>Coal</t>
  </si>
  <si>
    <t>Hydro</t>
  </si>
  <si>
    <t>Geothermal</t>
  </si>
  <si>
    <t xml:space="preserve">Solar </t>
  </si>
  <si>
    <t>Wind</t>
  </si>
  <si>
    <t>Nuclear</t>
  </si>
  <si>
    <t>Urban GHG Inventory Summary</t>
  </si>
  <si>
    <t>Below is an initial list of common fuel types and common units of sale, though other fuel types and units may exist</t>
  </si>
  <si>
    <t>If a particular fuel type for an end use represents less than 1% of total city energy consumption, it is acceptable to eliminate it from the calculations for simplicity and clarity.</t>
  </si>
  <si>
    <t>It is important to include all Municipal energy consumption and fuel types even if they represent less than 1% of total energy of the city for municipal inventory purposes</t>
  </si>
  <si>
    <t>Below is an initial list of common fuel types and common units of sale, though other fuel types and units may exist.   If a particular fuel type for an end use represents less than 1% of total city energy consumption, it is acceptable to eliminate it from the calculations for simplicity and clarity. It is important to include all Municipal energy consumption and fuel types even if they represent less than 1% of total energy of the city for municipal inventory purposes</t>
  </si>
  <si>
    <t>Common Units</t>
  </si>
  <si>
    <t>Source or purpose of consumption</t>
  </si>
  <si>
    <t xml:space="preserve">  - Diesel, Gas</t>
  </si>
  <si>
    <t>gallons, Liters</t>
  </si>
  <si>
    <t>private cars, motorcycles, busses, trucks</t>
  </si>
  <si>
    <t xml:space="preserve">  - LPG</t>
  </si>
  <si>
    <t>kg, m3, Liters</t>
  </si>
  <si>
    <t>taxis, LPG converted vehicles</t>
  </si>
  <si>
    <t xml:space="preserve">  - CNG</t>
  </si>
  <si>
    <t>taxis, CNG converted vehicles</t>
  </si>
  <si>
    <t xml:space="preserve">  - Kerosine</t>
  </si>
  <si>
    <t>kg, Liters</t>
  </si>
  <si>
    <t>motorcycles, busses</t>
  </si>
  <si>
    <t xml:space="preserve">  - Electricity </t>
  </si>
  <si>
    <t>kWh, MWh</t>
  </si>
  <si>
    <t xml:space="preserve">trains, light rail, </t>
  </si>
  <si>
    <t>industrial processes, building energy, equipment</t>
  </si>
  <si>
    <t>industrial vehicle fleet, light duty truck fleet</t>
  </si>
  <si>
    <t xml:space="preserve">  - Coal</t>
  </si>
  <si>
    <t>kg, tons</t>
  </si>
  <si>
    <t>direct fired furnace or boiler for industrial processes</t>
  </si>
  <si>
    <t>commercial processes, building uses: lighting, A/C, computers</t>
  </si>
  <si>
    <t>commercial vehicle fleet, light duty truck fleet</t>
  </si>
  <si>
    <t xml:space="preserve">  - Natural Gas</t>
  </si>
  <si>
    <t>m3, therms</t>
  </si>
  <si>
    <t>building space heating, hot water</t>
  </si>
  <si>
    <t>building end-uses: lighting, A/C, appliances, computers</t>
  </si>
  <si>
    <t>space heating, hot water\</t>
  </si>
  <si>
    <t xml:space="preserve">  - Fuel Oil</t>
  </si>
  <si>
    <t>m3, Liters, kg</t>
  </si>
  <si>
    <t>cooking fuel, space heating, hot water</t>
  </si>
  <si>
    <t>Liters, m3, kg</t>
  </si>
  <si>
    <t xml:space="preserve">  - Biomass</t>
  </si>
  <si>
    <t>cooking fuel, space heating</t>
  </si>
  <si>
    <t>street lighting, building uses, water and wastewater, solid waste</t>
  </si>
  <si>
    <t>building heating, hot water</t>
  </si>
  <si>
    <t>municipal vehicle fleet, solid waste vehicles</t>
  </si>
  <si>
    <t>'Stationary Energy' tab</t>
  </si>
  <si>
    <t xml:space="preserve">    Industrial Electricity</t>
  </si>
  <si>
    <t xml:space="preserve">    Industrial Heating</t>
  </si>
  <si>
    <t xml:space="preserve">    Commercial Electricity </t>
  </si>
  <si>
    <t xml:space="preserve">    Commercial Heating</t>
  </si>
  <si>
    <t xml:space="preserve">    Residential Electricity</t>
  </si>
  <si>
    <t xml:space="preserve">    Residential Heating</t>
  </si>
  <si>
    <t xml:space="preserve">    </t>
  </si>
  <si>
    <t xml:space="preserve">    Public Transportation </t>
  </si>
  <si>
    <t xml:space="preserve">    Private Transportation</t>
  </si>
  <si>
    <t>Step 2: Identify fuel types of energy sold to customers and request data from data sources</t>
  </si>
  <si>
    <t>Instructions</t>
  </si>
  <si>
    <t>Step 1: Determine all significant fuel types for each end-use</t>
  </si>
  <si>
    <t>Step 2: Collect fuel sale data for each fuel type for each end-use</t>
  </si>
  <si>
    <t>Step 3: Convert fuel sale data into a common energy unit (M-MJ typically)</t>
  </si>
  <si>
    <t>Step 4: Calculate total site-energy consumption by fuel type</t>
  </si>
  <si>
    <t>Step 5: Calculate (or estimate) source-energy primary fuel consumption for electricity consumption</t>
  </si>
  <si>
    <t>Step 6: Calculate total primary fuel type energy consumption</t>
  </si>
  <si>
    <t>Legend</t>
  </si>
  <si>
    <t>input cells - in source data units</t>
  </si>
  <si>
    <t>M-MJ</t>
  </si>
  <si>
    <t>energy balance cells - common energy units M-MJ</t>
  </si>
  <si>
    <t>conversion cells - unit conversion from source data to MJ</t>
  </si>
  <si>
    <t>Fuel Types</t>
  </si>
  <si>
    <t>Diesel/Gasoline</t>
  </si>
  <si>
    <t xml:space="preserve">Wind </t>
  </si>
  <si>
    <t>Solar</t>
  </si>
  <si>
    <t>LNG</t>
  </si>
  <si>
    <t>Calculation Example</t>
  </si>
  <si>
    <t>Step 1: Determine all fuel types sold</t>
  </si>
  <si>
    <t>Step 3: Convert fuel sale data into a common energy unit (MJ, TJ, etc.)</t>
  </si>
  <si>
    <t>Step 4: Sum total delivered energy consumption by fuel type</t>
  </si>
  <si>
    <t>Step 5: Calculate primary energy consumption for ELECTRICITY</t>
  </si>
  <si>
    <t xml:space="preserve">Step 6: Calculate total primary energy consumption by fuel type </t>
  </si>
  <si>
    <t>Step 7: Calculate total primary energy by end-use</t>
  </si>
  <si>
    <t>Energy Sold to Customers</t>
  </si>
  <si>
    <t>Energy Sold to Customers in units of MJ</t>
  </si>
  <si>
    <t>Energy Sold to Customers by Fuel Type</t>
  </si>
  <si>
    <t>Primary Energy Consumed for Electricity</t>
  </si>
  <si>
    <t>Total Primary Energy Consumed by Fuel Type</t>
  </si>
  <si>
    <t>Total Primary Energy Consumed by Sector</t>
  </si>
  <si>
    <t>fuel</t>
  </si>
  <si>
    <t>value</t>
  </si>
  <si>
    <t>units</t>
  </si>
  <si>
    <t>Source</t>
  </si>
  <si>
    <t>note</t>
  </si>
  <si>
    <t xml:space="preserve">M kWh </t>
  </si>
  <si>
    <t>PLN meeting</t>
  </si>
  <si>
    <t xml:space="preserve">  Electricity</t>
  </si>
  <si>
    <t>MJ/kWh</t>
  </si>
  <si>
    <t>unit conversion</t>
  </si>
  <si>
    <t>of city's electricity supply</t>
  </si>
  <si>
    <t xml:space="preserve">  Non Electricity</t>
  </si>
  <si>
    <t>power plant conversion eff</t>
  </si>
  <si>
    <t>metric tonnes</t>
  </si>
  <si>
    <t>Pertamina</t>
  </si>
  <si>
    <t>kg/tonne</t>
  </si>
  <si>
    <t>MJ/kg</t>
  </si>
  <si>
    <t>Nat Gas</t>
  </si>
  <si>
    <t>Gas/Diesel</t>
  </si>
  <si>
    <t xml:space="preserve">m3 </t>
  </si>
  <si>
    <t xml:space="preserve">Residential Delivered </t>
  </si>
  <si>
    <t xml:space="preserve">M-m3 </t>
  </si>
  <si>
    <t xml:space="preserve">kL </t>
  </si>
  <si>
    <t xml:space="preserve">Industrial Delivered </t>
  </si>
  <si>
    <t>M kWh electricity</t>
  </si>
  <si>
    <t>M-m3 Natural Gas</t>
  </si>
  <si>
    <t xml:space="preserve">Commercial Delivered </t>
  </si>
  <si>
    <t>Total Electricity Primary Energy per Delivered Energy</t>
  </si>
  <si>
    <t xml:space="preserve">M-MJ </t>
  </si>
  <si>
    <t>kL Diesel</t>
  </si>
  <si>
    <t>per</t>
  </si>
  <si>
    <t>Delivered Energy</t>
  </si>
  <si>
    <t>kL Gasoline</t>
  </si>
  <si>
    <t xml:space="preserve">Transportation Delivered </t>
  </si>
  <si>
    <t xml:space="preserve">Municipal Delivered </t>
  </si>
  <si>
    <t>For each selected end-use fuel type above, identify the data source (utility, authority or agency which sells the fuel or regulates the sale of fuel)</t>
  </si>
  <si>
    <t>For each data source identify the appropriate level and department in which to contact</t>
  </si>
  <si>
    <t>Make a formal data request and set up a meeting to discuss data</t>
  </si>
  <si>
    <t>Following receipt of data, discuss contextual and supplemental data to confirm units, boundary conditions, time periods, and information on end-uses</t>
  </si>
  <si>
    <t>Make careful unit conversions for each end-use fuel type</t>
  </si>
  <si>
    <t>For common energy balance conversions use reference conversions below or on the following calculation sheet</t>
  </si>
  <si>
    <t>For uncommon fuel types and units use a reliable source</t>
  </si>
  <si>
    <t>Conversion</t>
  </si>
  <si>
    <t>=</t>
  </si>
  <si>
    <t>gal</t>
  </si>
  <si>
    <t>@ 1.5 MPa</t>
  </si>
  <si>
    <t>Other Unit conversions</t>
  </si>
  <si>
    <t>@20MPa</t>
  </si>
  <si>
    <t>MT (metric tonne)</t>
  </si>
  <si>
    <t>Kerosine</t>
  </si>
  <si>
    <t>Fuel Oil</t>
  </si>
  <si>
    <t>bbl</t>
  </si>
  <si>
    <t>Bituminous</t>
  </si>
  <si>
    <t>Sub-Bituminous</t>
  </si>
  <si>
    <t>acre-ft</t>
  </si>
  <si>
    <t>short ton</t>
  </si>
  <si>
    <t>Sum all fuel type consumption estimates together to determine total energy consumption by fuel type</t>
  </si>
  <si>
    <t>Use calculation sheet on following tab 'Energy Balance Calculation Sheet' and see example calculation method</t>
  </si>
  <si>
    <t>Method 1: Specific power plant contributions</t>
  </si>
  <si>
    <t xml:space="preserve"> </t>
  </si>
  <si>
    <t xml:space="preserve">Identify all power plants in the region </t>
  </si>
  <si>
    <t xml:space="preserve">Calculate primary fuel consumption for electricity by estimating electricity generated by individual power plants. </t>
  </si>
  <si>
    <t>For calculation support, see calculation tab 'Primary Fuel for Electricity Calc' and use calculation Method 1</t>
  </si>
  <si>
    <t xml:space="preserve">Sum all primary fuel types for electricity consumption </t>
  </si>
  <si>
    <t>OR</t>
  </si>
  <si>
    <t>Method 2: Estimate based on regional or national electricity mix</t>
  </si>
  <si>
    <t>Obtain regional or national electricity generation fuel</t>
  </si>
  <si>
    <t>Multiply electricity generated by fuel mix percentages to obtain primary fuel consumption for electricity generation</t>
  </si>
  <si>
    <t>For calculation support, see calculation tab 'Primary Fuel for Electricity Calc' and use calculation Method 2</t>
  </si>
  <si>
    <t>Sum all primary source-energy fuel types across all end-uses</t>
  </si>
  <si>
    <t>The two components of this spreadsheet toolkit:</t>
  </si>
  <si>
    <t>Sources:</t>
  </si>
  <si>
    <t xml:space="preserve">Emissions Factor Basis: IPCC 2006 Guidelines for National Greenhouse Gas Emissions Inventories </t>
  </si>
  <si>
    <t xml:space="preserve">Calculation Basis: IPCC 2006 Guidelines for National Greenhouse Gas Emissions Inventories </t>
  </si>
  <si>
    <t>There are 12 worksheet tabs in this document:</t>
  </si>
  <si>
    <t xml:space="preserve">  5- Energy Balance Calculation</t>
  </si>
  <si>
    <t xml:space="preserve">  6- Sankey Diagram Instructions</t>
  </si>
  <si>
    <t xml:space="preserve"> IEA National Heating Values 2007; </t>
  </si>
  <si>
    <t>IEA Electricity Grid-Factors, 2007</t>
  </si>
  <si>
    <t xml:space="preserve">        Stationary Reference</t>
  </si>
  <si>
    <t xml:space="preserve">        Transport Reference</t>
  </si>
  <si>
    <t xml:space="preserve">        Water Reference</t>
  </si>
  <si>
    <t xml:space="preserve">        Solid Waste Reference</t>
  </si>
  <si>
    <t>Industrial Electricity</t>
  </si>
  <si>
    <t>Metric tons CO2e</t>
  </si>
  <si>
    <t>Commercial Electricity</t>
  </si>
  <si>
    <t>Total Industrial Delivered Energy</t>
  </si>
  <si>
    <t>Total Industrial GHG Emissions</t>
  </si>
  <si>
    <t>Fuels combusted in households, such as cooking fuel, space heating, hot water heating, diesel generators -- does not include electricity provided from the grid</t>
  </si>
  <si>
    <t>Residential Fuel / Heating</t>
  </si>
  <si>
    <t>Commercial Fuel / Heating</t>
  </si>
  <si>
    <t>Industrial Fuels / Heating</t>
  </si>
  <si>
    <t>Total Residential Delivered Energy</t>
  </si>
  <si>
    <t>Total Commercial Delivered Energy</t>
  </si>
  <si>
    <t>Metric Tons CO2e</t>
  </si>
  <si>
    <t>metric tons CO2e</t>
  </si>
  <si>
    <t xml:space="preserve">This worksheet contains guideance on data collection and a space to collect notes </t>
  </si>
  <si>
    <t>6- Sankey Diagram Instructions Sheet</t>
  </si>
  <si>
    <t>This worksheet contains guideance on how to create a Sankey diagram for the Urban Energy Balance of a city</t>
  </si>
  <si>
    <t xml:space="preserve">The purpose of this spreadsheet toolkit is to simplify, standardize, and make readily accessible the data collection process for urban energy balance and greenhouse gas emissions inventories. </t>
  </si>
  <si>
    <r>
      <t xml:space="preserve">  1) calculation support to develop an </t>
    </r>
    <r>
      <rPr>
        <b/>
        <sz val="11"/>
        <color theme="1"/>
        <rFont val="Myriad Pro"/>
        <family val="2"/>
      </rPr>
      <t>Urban Energy Balance</t>
    </r>
    <r>
      <rPr>
        <sz val="11"/>
        <color theme="1"/>
        <rFont val="Myriad Pro"/>
        <family val="2"/>
      </rPr>
      <t xml:space="preserve"> in the form of a Sankey Diagram for all energy consumed in a city.</t>
    </r>
  </si>
  <si>
    <r>
      <t xml:space="preserve">  2) calculation support to develop the </t>
    </r>
    <r>
      <rPr>
        <b/>
        <sz val="11"/>
        <color theme="1"/>
        <rFont val="Myriad Pro"/>
        <family val="2"/>
      </rPr>
      <t>Greenhouse Gas (GHG) emission inventory</t>
    </r>
    <r>
      <rPr>
        <sz val="11"/>
        <color theme="1"/>
        <rFont val="Myriad Pro"/>
        <family val="2"/>
      </rPr>
      <t xml:space="preserve"> for a city.</t>
    </r>
  </si>
  <si>
    <t xml:space="preserve"> - Inventories should be transparent, consistent, comparable, complete and accurate. They should be sufficiently disaggregated and consistent to
enable effective policy development.</t>
  </si>
  <si>
    <t xml:space="preserve"> - Emissions should be reported in terms of carbon dioxide equivalents, using the most recently published IPCC global warming potentials.</t>
  </si>
  <si>
    <t xml:space="preserve"> - Uncertainty assessment and quality assurance are encouraged and should follow IPCC guidelines.</t>
  </si>
  <si>
    <t xml:space="preserve">    Municipal Electricity</t>
  </si>
  <si>
    <t xml:space="preserve">    Municipal Heating</t>
  </si>
  <si>
    <t>'Solid Waste'  tab</t>
  </si>
  <si>
    <t xml:space="preserve">    Solid Waste Transportation Energy</t>
  </si>
  <si>
    <t>'Water'  tab</t>
  </si>
  <si>
    <t xml:space="preserve">    Drinking Water Electricity</t>
  </si>
  <si>
    <t xml:space="preserve">    Wastewater Electricity</t>
  </si>
  <si>
    <t xml:space="preserve">    Wastewater GHG Emissions</t>
  </si>
  <si>
    <t xml:space="preserve">    Landfill Gas GHG Emissions</t>
  </si>
  <si>
    <t>Step 3:Collect energy sales data and other GHG emissions background data to enter it into the detailed spreadsheet tabs to convert sold energy to energy units of MJ and to calculate GHG emissions in tons CO2e</t>
  </si>
  <si>
    <t>Residential Electricity</t>
  </si>
  <si>
    <t>kWh per M-MJJ conversion factor</t>
  </si>
  <si>
    <t>MJ per kWh</t>
  </si>
  <si>
    <t>Total Residential GHG Emissions</t>
  </si>
  <si>
    <t>Fuels combusted in government buildings such as space heating, hot water heating, diesel generators -- does not include electricity provided from the grid</t>
  </si>
  <si>
    <t>PLN</t>
  </si>
  <si>
    <t xml:space="preserve">    Municipal Transportation</t>
  </si>
  <si>
    <t>Setting the boundaries for urban energy balance and ghg emissions inventories can be difficult, so the following guidelines are provided to support the delineation of what should and should not be included in the Urban Energy Balance and the City's GHG Inventory.</t>
  </si>
  <si>
    <t>A) GHG inventories for cities should use the principles and methods developed by the IPCC. In particular:</t>
  </si>
  <si>
    <t xml:space="preserve"> - The most recent IPCC guidelines should be used for determining emissions from: energy (stationary and mobile sources); industrial processes and product use (IPPU); agriculture, forestry and other land use (AFOLU; where significant); and waste.</t>
  </si>
  <si>
    <t xml:space="preserve"> - Annual, calendar year, emissions for all six Kyoto gases, and other greenhouse gases as relevant, should be reported.</t>
  </si>
  <si>
    <t>B) In adopting the WRI/WBCSD Greenhouse Gas Protocol for corporations, GHG emissions attributed to cities and local regions can be classified as follows:</t>
  </si>
  <si>
    <r>
      <rPr>
        <b/>
        <sz val="11"/>
        <color theme="1"/>
        <rFont val="Myriad Pro"/>
        <family val="2"/>
      </rPr>
      <t>Scope 3</t>
    </r>
    <r>
      <rPr>
        <sz val="11"/>
        <color theme="1"/>
        <rFont val="Myriad Pro"/>
        <family val="2"/>
      </rPr>
      <t xml:space="preserve">
 - Other indirect emissions and embodied emissions that occur outside of the city boundary, as a result of activities of the city, including (but not limited to):
</t>
    </r>
    <r>
      <rPr>
        <sz val="11"/>
        <color rgb="FFC00000"/>
        <rFont val="Myriad Pro"/>
        <family val="2"/>
      </rPr>
      <t xml:space="preserve">       1) electrical transmission and distribution losses
       2) solid waste disposal
       3) waste incineration
       4) wastewater handling</t>
    </r>
    <r>
      <rPr>
        <sz val="11"/>
        <color theme="1"/>
        <rFont val="Myriad Pro"/>
        <family val="2"/>
      </rPr>
      <t xml:space="preserve">
</t>
    </r>
    <r>
      <rPr>
        <sz val="11"/>
        <color theme="3" tint="0.39997558519241921"/>
        <rFont val="Myriad Pro"/>
        <family val="2"/>
      </rPr>
      <t xml:space="preserve">       5) aviation
       6) marine
       7) embodied emissions upstream of power plants
       8) embodied emissions in fuels
       9) embodied emissions in imported construction materials
       10) embodied emissions in imported water
       11) embodied emissions in imported food</t>
    </r>
  </si>
  <si>
    <r>
      <rPr>
        <b/>
        <sz val="11"/>
        <color theme="1"/>
        <rFont val="Myriad Pro"/>
        <family val="2"/>
      </rPr>
      <t>Scope 2</t>
    </r>
    <r>
      <rPr>
        <sz val="11"/>
        <color theme="1"/>
        <rFont val="Myriad Pro"/>
        <family val="2"/>
      </rPr>
      <t xml:space="preserve">
 - Indirect emissions that occur outside of the city boundary as a result of activities that occur within the city, limited to only:
</t>
    </r>
    <r>
      <rPr>
        <sz val="11"/>
        <color rgb="FFC00000"/>
        <rFont val="Myriad Pro"/>
        <family val="2"/>
      </rPr>
      <t xml:space="preserve">        1) electricity consumption from Buildings, Industrial activities, Transportation, Street Lighting, Water Suppy, Solid Waste activities within the city
             which draw electricity from electrical power generation facilities located outside of the city boundary.
        2) district heating, steam and cooling consumption from Buildings and Industries within the city boundary, but supplied from cooling or heating
             facilities located outside the city boundary.</t>
    </r>
  </si>
  <si>
    <r>
      <rPr>
        <b/>
        <sz val="11"/>
        <color theme="1"/>
        <rFont val="Myriad Pro"/>
        <family val="2"/>
      </rPr>
      <t>Scope 1</t>
    </r>
    <r>
      <rPr>
        <sz val="11"/>
        <color theme="1"/>
        <rFont val="Myriad Pro"/>
        <family val="2"/>
      </rPr>
      <t xml:space="preserve">
 - GHG emissions that occur within the territorial boundary of the city or local region such as:
</t>
    </r>
    <r>
      <rPr>
        <sz val="11"/>
        <color rgb="FFC00000"/>
        <rFont val="Myriad Pro"/>
        <family val="2"/>
      </rPr>
      <t xml:space="preserve">        1) stationary emissions from fuel combusion for electrical power generation facilities located within the boundary of the city
        2) stationary emissions from fuel combusion for heating, cooking, hot water and industrial processes located within the boundary of the city.</t>
    </r>
  </si>
  <si>
    <r>
      <t xml:space="preserve">  NOTE: energy and emissions sources highlighted in RED are recommended to be in the GHG Inventory and calculation support is provided in this toolkit 
</t>
    </r>
    <r>
      <rPr>
        <sz val="11"/>
        <color theme="3" tint="0.39997558519241921"/>
        <rFont val="Myriad Pro"/>
        <family val="2"/>
      </rPr>
      <t xml:space="preserve">  NOTE: energy and emissions sources highlighted in BLUE are not required to be in the GHG Inventory, but can be included if data is available. </t>
    </r>
  </si>
  <si>
    <t xml:space="preserve">  NOTE: some components of above data can be difficult to identify as within the city boundary or outside the city boundary such as automobile gasoline, regional train electricity or other activities which occur both within and outside of the boundary.  IPCC and WRI guidelines for these types of emissions are flexible, but the calculation methodology and assumptions must be documented and justified. Also when comparing energy and GHG inventories between years, the same assumptions and calculations must be made between both years of comparison.</t>
  </si>
  <si>
    <t>Electricity Data</t>
  </si>
  <si>
    <t>(This space is available to collect notes, make calculations, unit conversions or other documentation.  Feel free to insert rows, or calculations and  touse this space as needed)</t>
  </si>
  <si>
    <t>Transportation Data</t>
  </si>
  <si>
    <t>Water Data</t>
  </si>
  <si>
    <t>Waste Data</t>
  </si>
  <si>
    <t>Identifing Boundary Conditions for Energy Balance and GHG Inventory</t>
  </si>
  <si>
    <t xml:space="preserve">  1- Intro and Instructions  </t>
  </si>
  <si>
    <t xml:space="preserve">  2- Data Collection Support</t>
  </si>
  <si>
    <t xml:space="preserve">  3- Data Workspace</t>
  </si>
  <si>
    <t xml:space="preserve">  4- Data Summary Sheet</t>
  </si>
  <si>
    <t xml:space="preserve">  9- Water</t>
  </si>
  <si>
    <t xml:space="preserve">  8- Transportation</t>
  </si>
  <si>
    <t xml:space="preserve">  7- Stationary</t>
  </si>
  <si>
    <t>10- Solid Waste Reference</t>
  </si>
  <si>
    <t xml:space="preserve">    Industrial Electricity and Heating</t>
  </si>
  <si>
    <t xml:space="preserve">    Commercial Electricity and Heating</t>
  </si>
  <si>
    <t xml:space="preserve">    Residential Electricity and Heating</t>
  </si>
  <si>
    <t xml:space="preserve">    Municipal Electricity and Heating</t>
  </si>
  <si>
    <t>2 - Data Collection Support</t>
  </si>
  <si>
    <t>4- Data Summary Sheet</t>
  </si>
  <si>
    <t>This worksheet contains the final results and the summary of breakdowns of the Energy Balance and GHG Inventory for all sectors and fuel types</t>
  </si>
  <si>
    <t>3- Data Workspace</t>
  </si>
  <si>
    <t>This worksheet is a place to store data, take notes, record contact details of data sources, make calculations, make unit conversions and to do any other work that may be necessary in the process of energy balance and ghg inventory work.  This workspace is helpful for future third parties who may review or continue the energy planning work so that they may follow the calculation methods and follow up with data sources.</t>
  </si>
  <si>
    <t>Sources of Emissions</t>
  </si>
  <si>
    <t>Demand Side Only -- Electricty from facilities and processing; Gases emitted by wastewater</t>
  </si>
  <si>
    <t>Emissions Factor Basis</t>
  </si>
  <si>
    <t>IPCC 2006 Guidelines for National Greenhouse Gas Emissions Inventories (Chapter 6: Wastewater Treatment and Discharge)</t>
  </si>
  <si>
    <t>Calculation Basis</t>
  </si>
  <si>
    <t>Emissions Calculations from Electricity Usage and Fuel Combustion</t>
  </si>
  <si>
    <t>Estimated Electricuty Usage for  Wasterwater Treatment</t>
  </si>
  <si>
    <t>Level of Certainty</t>
  </si>
  <si>
    <t>Justification for Certainty (qualitative)</t>
  </si>
  <si>
    <t>Tons CO2e from Electricity</t>
  </si>
  <si>
    <t>Estimated Emissions from On-Site Fuel Combustion for Wastewater Treatment</t>
  </si>
  <si>
    <t xml:space="preserve">Tons CO2e </t>
  </si>
  <si>
    <t>Estimated Electricuty Usage for  Waster Distribution</t>
  </si>
  <si>
    <t>PDAM</t>
  </si>
  <si>
    <t>Tons CO2e in given year</t>
  </si>
  <si>
    <t>Emissions from Energy Usage</t>
  </si>
  <si>
    <t>Total Emissions</t>
  </si>
  <si>
    <t>Demand Side Only -- Electricty from facilities and processing; Gases emitted by decomposing waste</t>
  </si>
  <si>
    <t xml:space="preserve">IPCC 2006 Guidelines for National Greenhouse Gas Emissions Inventories (Chapter 2: Waste Generation, Composition and Management Data) </t>
  </si>
  <si>
    <t>UNFCCC CDM Methodology: "Tool to Determine Methan Emissions Avoided from Dumping Waste at a Solid Waste Disposal Site" (EB 26; Annex 14)</t>
  </si>
  <si>
    <t>Municipal Waste Mix</t>
  </si>
  <si>
    <t>Waste Site Characteristics</t>
  </si>
  <si>
    <t>Waste Site GHG Calculations</t>
  </si>
  <si>
    <t>Uncovered</t>
  </si>
  <si>
    <t>Municipal Buildings</t>
  </si>
  <si>
    <t>Street Lighting</t>
  </si>
  <si>
    <t>5 - Energy Balance Calculation</t>
  </si>
  <si>
    <t>7- Stationary Combustion and Electricty Usage</t>
  </si>
  <si>
    <t>9-Water and Wastewater Treatment</t>
  </si>
  <si>
    <t>10-Solid Waste</t>
  </si>
  <si>
    <t>Demand and Supply Side -- Fuel combusted by vehicles; Electricty supporting electrified rail and plug-in vehicles</t>
  </si>
  <si>
    <t>IPCC 2006 Guidelines; IEA National Heating Values 2007; IEA Electricity Grid-Factors, 2007</t>
  </si>
  <si>
    <t xml:space="preserve">IPCC 2006 Guidelines for National Greenhouse Gas Emissions Inventories (Chapter 3: Mobile Combustion) </t>
  </si>
  <si>
    <t>CO2e Content (kg/TJ)</t>
  </si>
  <si>
    <t>Estimated % Sales for Non-Transport Uses</t>
  </si>
  <si>
    <t>Annual GHG Emissions (Tons CO2e)</t>
  </si>
  <si>
    <t>Energy Consumption (MJ)</t>
  </si>
  <si>
    <t>MJ total</t>
  </si>
  <si>
    <t>Fleet Characteristics</t>
  </si>
  <si>
    <t>Vehicle Type</t>
  </si>
  <si>
    <t>Description (Qualitative)</t>
  </si>
  <si>
    <t># of Vehicles</t>
  </si>
  <si>
    <t>Average Model Year</t>
  </si>
  <si>
    <t>Average Fuel Economy</t>
  </si>
  <si>
    <t>Average Annual Vehicle Kilometers Traveled</t>
  </si>
  <si>
    <t>Carbon Content of Fuel (from Step 3)</t>
  </si>
  <si>
    <t>Annual GHG Emissions (tons CO2e)</t>
  </si>
  <si>
    <t>Standard Bus</t>
  </si>
  <si>
    <t>Transportation Department</t>
  </si>
  <si>
    <t>Vehicles registered in city only</t>
  </si>
  <si>
    <t>Mikrolet</t>
  </si>
  <si>
    <t>Gasoline Taxi</t>
  </si>
  <si>
    <t>CNG Taxi</t>
  </si>
  <si>
    <t>School Bus</t>
  </si>
  <si>
    <t>Method 4 - Fuel Data</t>
  </si>
  <si>
    <t>tons CO2e -- Based on Fuel Data (using this method)</t>
  </si>
  <si>
    <t>Method 5 - Fleet Data</t>
  </si>
  <si>
    <t>tons CO2e -- Based on Fleet Data (not using this method due to uncertainty of estimates of fuel economy and vehicle kilometers traveled)</t>
  </si>
  <si>
    <r>
      <rPr>
        <b/>
        <sz val="14"/>
        <color theme="1"/>
        <rFont val="Myriad Pro"/>
        <family val="2"/>
      </rPr>
      <t>Step 1:</t>
    </r>
    <r>
      <rPr>
        <sz val="14"/>
        <color theme="1"/>
        <rFont val="Myriad Pro"/>
        <family val="2"/>
      </rPr>
      <t xml:space="preserve"> Determine all significant fuel types for each end-use</t>
    </r>
  </si>
  <si>
    <r>
      <rPr>
        <b/>
        <sz val="14"/>
        <color theme="1"/>
        <rFont val="Myriad Pro"/>
        <family val="2"/>
      </rPr>
      <t xml:space="preserve">Step 2: </t>
    </r>
    <r>
      <rPr>
        <sz val="14"/>
        <color theme="1"/>
        <rFont val="Myriad Pro"/>
        <family val="2"/>
      </rPr>
      <t>Collect fuel sale data for each fuel type for each end-use</t>
    </r>
  </si>
  <si>
    <r>
      <rPr>
        <b/>
        <sz val="14"/>
        <color theme="1"/>
        <rFont val="Myriad Pro"/>
        <family val="2"/>
      </rPr>
      <t>Step 3:</t>
    </r>
    <r>
      <rPr>
        <sz val="14"/>
        <color theme="1"/>
        <rFont val="Myriad Pro"/>
        <family val="2"/>
      </rPr>
      <t xml:space="preserve"> Convert fuel sale data into a common energy unit (MJ, TJ, etc.)</t>
    </r>
  </si>
  <si>
    <r>
      <rPr>
        <b/>
        <sz val="14"/>
        <color theme="1"/>
        <rFont val="Myriad Pro"/>
        <family val="2"/>
      </rPr>
      <t>Step 4:</t>
    </r>
    <r>
      <rPr>
        <sz val="14"/>
        <color theme="1"/>
        <rFont val="Myriad Pro"/>
        <family val="2"/>
      </rPr>
      <t xml:space="preserve"> Calculate total site-energy consumption by fuel type</t>
    </r>
  </si>
  <si>
    <r>
      <rPr>
        <b/>
        <sz val="14"/>
        <color theme="1"/>
        <rFont val="Myriad Pro"/>
        <family val="2"/>
      </rPr>
      <t xml:space="preserve">Step 5: </t>
    </r>
    <r>
      <rPr>
        <sz val="14"/>
        <color theme="1"/>
        <rFont val="Myriad Pro"/>
        <family val="2"/>
      </rPr>
      <t>Calculate (or estimate) primary source-energy fuel consumption for electricity consumption</t>
    </r>
  </si>
  <si>
    <r>
      <rPr>
        <b/>
        <sz val="14"/>
        <color theme="1"/>
        <rFont val="Myriad Pro"/>
        <family val="2"/>
      </rPr>
      <t>Step 6:</t>
    </r>
    <r>
      <rPr>
        <sz val="14"/>
        <color theme="1"/>
        <rFont val="Myriad Pro"/>
        <family val="2"/>
      </rPr>
      <t xml:space="preserve"> Calculate total primary source-energy fuel type energy consumption</t>
    </r>
  </si>
  <si>
    <r>
      <t xml:space="preserve">(select </t>
    </r>
    <r>
      <rPr>
        <b/>
        <sz val="11"/>
        <color theme="1"/>
        <rFont val="Myriad Pro"/>
        <family val="2"/>
      </rPr>
      <t>country</t>
    </r>
    <r>
      <rPr>
        <sz val="11"/>
        <color theme="1"/>
        <rFont val="Myriad Pro"/>
        <family val="2"/>
      </rPr>
      <t xml:space="preserve"> from list)</t>
    </r>
  </si>
  <si>
    <r>
      <t xml:space="preserve">(select </t>
    </r>
    <r>
      <rPr>
        <b/>
        <sz val="11"/>
        <color theme="1"/>
        <rFont val="Myriad Pro"/>
        <family val="2"/>
      </rPr>
      <t>region</t>
    </r>
    <r>
      <rPr>
        <sz val="11"/>
        <color theme="1"/>
        <rFont val="Myriad Pro"/>
        <family val="2"/>
      </rPr>
      <t xml:space="preserve"> / </t>
    </r>
    <r>
      <rPr>
        <b/>
        <sz val="11"/>
        <color theme="1"/>
        <rFont val="Myriad Pro"/>
        <family val="2"/>
      </rPr>
      <t>country</t>
    </r>
    <r>
      <rPr>
        <sz val="11"/>
        <color theme="1"/>
        <rFont val="Myriad Pro"/>
        <family val="2"/>
      </rPr>
      <t xml:space="preserve"> from list that is the closest match)</t>
    </r>
  </si>
  <si>
    <r>
      <t xml:space="preserve">(select </t>
    </r>
    <r>
      <rPr>
        <b/>
        <sz val="11"/>
        <color theme="1"/>
        <rFont val="Myriad Pro"/>
        <family val="2"/>
      </rPr>
      <t>country</t>
    </r>
    <r>
      <rPr>
        <sz val="11"/>
        <color theme="1"/>
        <rFont val="Myriad Pro"/>
        <family val="2"/>
      </rPr>
      <t xml:space="preserve"> from list that is the closest match)</t>
    </r>
  </si>
  <si>
    <r>
      <t xml:space="preserve">(select </t>
    </r>
    <r>
      <rPr>
        <b/>
        <sz val="11"/>
        <color theme="1"/>
        <rFont val="Myriad Pro"/>
        <family val="2"/>
      </rPr>
      <t>region</t>
    </r>
    <r>
      <rPr>
        <sz val="11"/>
        <color theme="1"/>
        <rFont val="Myriad Pro"/>
        <family val="2"/>
      </rPr>
      <t xml:space="preserve"> from list)</t>
    </r>
  </si>
  <si>
    <t>City</t>
  </si>
  <si>
    <t>'Transportation Energy' tab</t>
  </si>
  <si>
    <t>Transportation Reference</t>
  </si>
  <si>
    <t>City Government Fuel / Heating</t>
  </si>
  <si>
    <t>City Government Electricity</t>
  </si>
  <si>
    <t>8-Transportation</t>
  </si>
  <si>
    <t>Sustainable Urban Energy and Emissions Planning Toolkits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</si>
</sst>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_);_(* \(#,##0\);_(* &quot;-&quot;??_);_(@_)"/>
    <numFmt numFmtId="165" formatCode="_(* #,##0.000_);_(* \(#,##0.000\);_(* &quot;-&quot;??_);_(@_)"/>
    <numFmt numFmtId="166" formatCode="_(* #,##0.0000_);_(* \(#,##0.0000\);_(* &quot;-&quot;??_);_(@_)"/>
    <numFmt numFmtId="167" formatCode="_(* #,##0.00000_);_(* \(#,##0.00000\);_(* &quot;-&quot;??_);_(@_)"/>
    <numFmt numFmtId="168" formatCode="0.0"/>
    <numFmt numFmtId="169" formatCode="#,##0.0"/>
  </numFmts>
  <fonts count="48">
    <font>
      <sz val="11"/>
      <color theme="1"/>
      <name val="Calibri"/>
      <family val="2"/>
      <scheme val="minor"/>
    </font>
    <font>
      <sz val="11"/>
      <color theme="1"/>
      <name val="Calibri"/>
      <family val="2"/>
      <scheme val="minor"/>
    </font>
    <font>
      <sz val="8"/>
      <color indexed="81"/>
      <name val="Tahoma"/>
      <family val="2"/>
    </font>
    <font>
      <sz val="14"/>
      <color theme="1"/>
      <name val="Calibri"/>
      <family val="2"/>
      <scheme val="minor"/>
    </font>
    <font>
      <sz val="16"/>
      <color theme="1"/>
      <name val="Calibri"/>
      <family val="2"/>
      <scheme val="minor"/>
    </font>
    <font>
      <sz val="22"/>
      <color theme="1"/>
      <name val="Calibri"/>
      <family val="2"/>
      <scheme val="minor"/>
    </font>
    <font>
      <b/>
      <sz val="22"/>
      <color theme="1"/>
      <name val="Calibri"/>
      <family val="2"/>
      <scheme val="minor"/>
    </font>
    <font>
      <sz val="11"/>
      <color theme="0" tint="-0.34998626667073579"/>
      <name val="Calibri"/>
      <family val="2"/>
      <scheme val="minor"/>
    </font>
    <font>
      <sz val="11"/>
      <color theme="3" tint="0.39997558519241921"/>
      <name val="Calibri"/>
      <family val="2"/>
      <scheme val="minor"/>
    </font>
    <font>
      <sz val="11"/>
      <color theme="1"/>
      <name val="Myriad Pro"/>
      <family val="2"/>
    </font>
    <font>
      <b/>
      <sz val="28"/>
      <color theme="1"/>
      <name val="Myriad Pro"/>
      <family val="2"/>
    </font>
    <font>
      <b/>
      <sz val="22"/>
      <color theme="1"/>
      <name val="Myriad Pro"/>
      <family val="2"/>
    </font>
    <font>
      <sz val="22"/>
      <color theme="1"/>
      <name val="Myriad Pro"/>
      <family val="2"/>
    </font>
    <font>
      <sz val="16"/>
      <color theme="1"/>
      <name val="Myriad Pro"/>
      <family val="2"/>
    </font>
    <font>
      <sz val="14"/>
      <color theme="1"/>
      <name val="Myriad Pro"/>
      <family val="2"/>
    </font>
    <font>
      <b/>
      <sz val="11"/>
      <color theme="1"/>
      <name val="Myriad Pro"/>
      <family val="2"/>
    </font>
    <font>
      <i/>
      <sz val="11"/>
      <color theme="1"/>
      <name val="Myriad Pro"/>
      <family val="2"/>
    </font>
    <font>
      <u/>
      <sz val="11"/>
      <color theme="1"/>
      <name val="Myriad Pro"/>
      <family val="2"/>
    </font>
    <font>
      <sz val="11"/>
      <color theme="3" tint="0.39997558519241921"/>
      <name val="Myriad Pro"/>
      <family val="2"/>
    </font>
    <font>
      <sz val="11"/>
      <color rgb="FFC00000"/>
      <name val="Myriad Pro"/>
      <family val="2"/>
    </font>
    <font>
      <sz val="11"/>
      <name val="Myriad Pro"/>
      <family val="2"/>
    </font>
    <font>
      <b/>
      <sz val="14"/>
      <color theme="1"/>
      <name val="Myriad Pro"/>
      <family val="2"/>
    </font>
    <font>
      <b/>
      <sz val="24"/>
      <color theme="1"/>
      <name val="Myriad Pro"/>
      <family val="2"/>
    </font>
    <font>
      <b/>
      <sz val="18"/>
      <color theme="1"/>
      <name val="Myriad Pro"/>
      <family val="2"/>
    </font>
    <font>
      <sz val="11"/>
      <color theme="0" tint="-0.34998626667073579"/>
      <name val="Myriad Pro"/>
      <family val="2"/>
    </font>
    <font>
      <sz val="14"/>
      <color theme="3"/>
      <name val="Myriad Pro"/>
      <family val="2"/>
    </font>
    <font>
      <b/>
      <sz val="14"/>
      <color theme="3"/>
      <name val="Myriad Pro"/>
      <family val="2"/>
    </font>
    <font>
      <b/>
      <u/>
      <sz val="11"/>
      <color theme="1"/>
      <name val="Myriad Pro"/>
      <family val="2"/>
    </font>
    <font>
      <b/>
      <sz val="14"/>
      <name val="Myriad Pro"/>
      <family val="2"/>
    </font>
    <font>
      <sz val="14"/>
      <name val="Myriad Pro"/>
      <family val="2"/>
    </font>
    <font>
      <b/>
      <sz val="10"/>
      <name val="Myriad Pro"/>
      <family val="2"/>
    </font>
    <font>
      <sz val="12"/>
      <name val="Myriad Pro"/>
      <family val="2"/>
    </font>
    <font>
      <b/>
      <sz val="12"/>
      <name val="Myriad Pro"/>
      <family val="2"/>
    </font>
    <font>
      <sz val="10"/>
      <name val="Myriad Pro"/>
      <family val="2"/>
    </font>
    <font>
      <sz val="11"/>
      <color theme="0"/>
      <name val="Myriad Pro"/>
      <family val="2"/>
    </font>
    <font>
      <sz val="8"/>
      <name val="Myriad Pro"/>
      <family val="2"/>
    </font>
    <font>
      <b/>
      <sz val="10"/>
      <color theme="1"/>
      <name val="Myriad Pro"/>
      <family val="2"/>
    </font>
    <font>
      <sz val="10"/>
      <color theme="1"/>
      <name val="Myriad Pro"/>
      <family val="2"/>
    </font>
    <font>
      <sz val="11"/>
      <color rgb="FFFF0000"/>
      <name val="Myriad Pro"/>
      <family val="2"/>
    </font>
    <font>
      <i/>
      <sz val="14"/>
      <color theme="3"/>
      <name val="Myriad Pro"/>
      <family val="2"/>
    </font>
    <font>
      <i/>
      <sz val="11"/>
      <name val="Myriad Pro"/>
      <family val="2"/>
    </font>
    <font>
      <i/>
      <sz val="9"/>
      <color theme="1"/>
      <name val="Myriad Pro"/>
      <family val="2"/>
    </font>
    <font>
      <sz val="9"/>
      <name val="Myriad Pro"/>
      <family val="2"/>
    </font>
    <font>
      <i/>
      <sz val="9"/>
      <name val="Myriad Pro"/>
      <family val="2"/>
    </font>
    <font>
      <sz val="9"/>
      <color theme="1"/>
      <name val="Myriad Pro"/>
      <family val="2"/>
    </font>
    <font>
      <sz val="10"/>
      <color indexed="8"/>
      <name val="Myriad Pro"/>
      <family val="2"/>
    </font>
    <font>
      <b/>
      <sz val="11"/>
      <name val="Myriad Pro"/>
      <family val="2"/>
    </font>
    <font>
      <b/>
      <i/>
      <sz val="11"/>
      <color theme="1"/>
      <name val="Myriad Pro"/>
      <family val="2"/>
    </font>
  </fonts>
  <fills count="20">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00CC99"/>
        <bgColor indexed="64"/>
      </patternFill>
    </fill>
    <fill>
      <patternFill patternType="solid">
        <fgColor rgb="FFCEBFB6"/>
        <bgColor indexed="64"/>
      </patternFill>
    </fill>
    <fill>
      <patternFill patternType="solid">
        <fgColor rgb="FF3333FF"/>
        <bgColor indexed="64"/>
      </patternFill>
    </fill>
    <fill>
      <patternFill patternType="solid">
        <fgColor rgb="FFD4C5FF"/>
        <bgColor indexed="64"/>
      </patternFill>
    </fill>
    <fill>
      <patternFill patternType="solid">
        <fgColor rgb="FFFF6699"/>
        <bgColor indexed="64"/>
      </patternFill>
    </fill>
    <fill>
      <patternFill patternType="solid">
        <fgColor rgb="FFBDE1FF"/>
        <bgColor indexed="64"/>
      </patternFill>
    </fill>
    <fill>
      <patternFill patternType="solid">
        <fgColor rgb="FF99FF99"/>
        <bgColor indexed="64"/>
      </patternFill>
    </fill>
    <fill>
      <patternFill patternType="solid">
        <fgColor rgb="FFC0EACA"/>
        <bgColor indexed="64"/>
      </patternFill>
    </fill>
    <fill>
      <patternFill patternType="solid">
        <fgColor rgb="FFFFFF66"/>
        <bgColor indexed="64"/>
      </patternFill>
    </fill>
    <fill>
      <patternFill patternType="solid">
        <fgColor rgb="FFFFD5BD"/>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23">
    <xf numFmtId="0" fontId="0" fillId="0" borderId="0" xfId="0"/>
    <xf numFmtId="0" fontId="0" fillId="4" borderId="0" xfId="0" applyFill="1"/>
    <xf numFmtId="0" fontId="0" fillId="4" borderId="0" xfId="0" applyFill="1" applyAlignment="1">
      <alignment wrapText="1"/>
    </xf>
    <xf numFmtId="0" fontId="0" fillId="4" borderId="0" xfId="0" applyFill="1" applyAlignment="1">
      <alignment horizontal="center"/>
    </xf>
    <xf numFmtId="0" fontId="3" fillId="4" borderId="0" xfId="0" applyFont="1" applyFill="1"/>
    <xf numFmtId="0" fontId="4" fillId="4" borderId="0" xfId="0" applyFont="1" applyFill="1"/>
    <xf numFmtId="0" fontId="5" fillId="4" borderId="0" xfId="0" applyFont="1" applyFill="1"/>
    <xf numFmtId="0" fontId="6" fillId="4" borderId="0" xfId="0" applyFont="1" applyFill="1"/>
    <xf numFmtId="0" fontId="5" fillId="4" borderId="0" xfId="0" applyFont="1" applyFill="1" applyAlignment="1">
      <alignment horizontal="center"/>
    </xf>
    <xf numFmtId="0" fontId="0" fillId="0" borderId="0" xfId="0" applyAlignment="1">
      <alignment vertical="top"/>
    </xf>
    <xf numFmtId="0" fontId="7" fillId="0" borderId="0" xfId="0" applyFont="1"/>
    <xf numFmtId="0" fontId="8" fillId="0" borderId="0" xfId="0" applyFont="1"/>
    <xf numFmtId="0" fontId="0" fillId="4" borderId="0" xfId="0" applyFill="1" applyAlignment="1">
      <alignment wrapText="1"/>
    </xf>
    <xf numFmtId="0" fontId="9" fillId="4" borderId="0" xfId="0" applyFont="1" applyFill="1"/>
    <xf numFmtId="0" fontId="10" fillId="4" borderId="0" xfId="0" applyFont="1" applyFill="1"/>
    <xf numFmtId="0" fontId="11" fillId="4" borderId="0" xfId="0" applyFont="1" applyFill="1"/>
    <xf numFmtId="0" fontId="12" fillId="4" borderId="0" xfId="0" applyFont="1" applyFill="1"/>
    <xf numFmtId="0" fontId="13" fillId="4" borderId="0" xfId="0" applyFont="1" applyFill="1"/>
    <xf numFmtId="0" fontId="14" fillId="4" borderId="0" xfId="0" applyFont="1" applyFill="1"/>
    <xf numFmtId="0" fontId="9" fillId="4" borderId="0" xfId="0" applyFont="1" applyFill="1" applyAlignment="1">
      <alignment wrapText="1"/>
    </xf>
    <xf numFmtId="0" fontId="15" fillId="4" borderId="0" xfId="0" applyFont="1" applyFill="1" applyAlignment="1">
      <alignment wrapText="1"/>
    </xf>
    <xf numFmtId="0" fontId="9" fillId="4" borderId="15" xfId="0" applyFont="1" applyFill="1" applyBorder="1" applyAlignment="1">
      <alignment wrapText="1"/>
    </xf>
    <xf numFmtId="0" fontId="9" fillId="4" borderId="11" xfId="0" applyFont="1" applyFill="1" applyBorder="1" applyAlignment="1">
      <alignment wrapText="1"/>
    </xf>
    <xf numFmtId="0" fontId="9" fillId="4" borderId="0" xfId="0" applyNumberFormat="1" applyFont="1" applyFill="1" applyAlignment="1">
      <alignment wrapText="1"/>
    </xf>
    <xf numFmtId="0" fontId="16" fillId="4" borderId="0" xfId="0" applyFont="1" applyFill="1"/>
    <xf numFmtId="0" fontId="16" fillId="4" borderId="0" xfId="0" applyFont="1" applyFill="1" applyAlignment="1">
      <alignment wrapText="1"/>
    </xf>
    <xf numFmtId="0" fontId="9" fillId="4" borderId="0" xfId="0" applyFont="1" applyFill="1" applyAlignment="1">
      <alignment wrapText="1"/>
    </xf>
    <xf numFmtId="0" fontId="9" fillId="8" borderId="4" xfId="0" applyFont="1" applyFill="1" applyBorder="1"/>
    <xf numFmtId="0" fontId="9" fillId="8" borderId="2" xfId="0" applyFont="1" applyFill="1" applyBorder="1"/>
    <xf numFmtId="0" fontId="9" fillId="8" borderId="8" xfId="0" applyFont="1" applyFill="1" applyBorder="1"/>
    <xf numFmtId="0" fontId="15" fillId="4" borderId="5" xfId="0" applyFont="1" applyFill="1" applyBorder="1"/>
    <xf numFmtId="0" fontId="9" fillId="4" borderId="0" xfId="0" applyFont="1" applyFill="1" applyBorder="1"/>
    <xf numFmtId="0" fontId="9" fillId="4" borderId="9" xfId="0" applyFont="1" applyFill="1" applyBorder="1"/>
    <xf numFmtId="0" fontId="9" fillId="4" borderId="5" xfId="0" applyFont="1" applyFill="1" applyBorder="1"/>
    <xf numFmtId="0" fontId="9" fillId="4" borderId="6" xfId="0" applyFont="1" applyFill="1" applyBorder="1"/>
    <xf numFmtId="0" fontId="9" fillId="4" borderId="3" xfId="0" applyFont="1" applyFill="1" applyBorder="1"/>
    <xf numFmtId="0" fontId="9" fillId="4" borderId="10" xfId="0" applyFont="1" applyFill="1" applyBorder="1"/>
    <xf numFmtId="0" fontId="15" fillId="4" borderId="13" xfId="0" quotePrefix="1" applyFont="1" applyFill="1" applyBorder="1"/>
    <xf numFmtId="0" fontId="9" fillId="4" borderId="14" xfId="0" applyFont="1" applyFill="1" applyBorder="1"/>
    <xf numFmtId="0" fontId="15" fillId="4" borderId="5" xfId="0" quotePrefix="1" applyFont="1" applyFill="1" applyBorder="1"/>
    <xf numFmtId="0" fontId="20" fillId="4" borderId="0" xfId="0" applyFont="1" applyFill="1"/>
    <xf numFmtId="0" fontId="9" fillId="4" borderId="7" xfId="0" applyFont="1" applyFill="1" applyBorder="1"/>
    <xf numFmtId="0" fontId="9" fillId="4" borderId="0" xfId="0" applyFont="1" applyFill="1" applyAlignment="1">
      <alignment horizontal="center"/>
    </xf>
    <xf numFmtId="0" fontId="12" fillId="4" borderId="0" xfId="0" applyFont="1" applyFill="1" applyAlignment="1">
      <alignment horizontal="center"/>
    </xf>
    <xf numFmtId="0" fontId="21" fillId="4" borderId="0" xfId="0" applyFont="1" applyFill="1" applyAlignment="1"/>
    <xf numFmtId="0" fontId="17" fillId="4" borderId="0" xfId="0" applyFont="1" applyFill="1" applyAlignment="1"/>
    <xf numFmtId="0" fontId="9" fillId="4" borderId="3" xfId="0" applyFont="1" applyFill="1" applyBorder="1" applyAlignment="1">
      <alignment horizontal="center"/>
    </xf>
    <xf numFmtId="0" fontId="9" fillId="0" borderId="0" xfId="0" applyFont="1"/>
    <xf numFmtId="0" fontId="22" fillId="0" borderId="0" xfId="0" applyFont="1"/>
    <xf numFmtId="0" fontId="23" fillId="0" borderId="0" xfId="0" applyFont="1"/>
    <xf numFmtId="0" fontId="9" fillId="0" borderId="0" xfId="0" applyFont="1" applyBorder="1"/>
    <xf numFmtId="0" fontId="9" fillId="0" borderId="13" xfId="0" applyFont="1" applyBorder="1"/>
    <xf numFmtId="0" fontId="9" fillId="0" borderId="7" xfId="0" applyFont="1" applyBorder="1"/>
    <xf numFmtId="0" fontId="9" fillId="0" borderId="14" xfId="0" applyFont="1" applyBorder="1"/>
    <xf numFmtId="0" fontId="9" fillId="0" borderId="5" xfId="0" applyFont="1" applyBorder="1"/>
    <xf numFmtId="0" fontId="9" fillId="0" borderId="9" xfId="0" applyFont="1" applyBorder="1"/>
    <xf numFmtId="0" fontId="9" fillId="0" borderId="6" xfId="0" applyFont="1" applyBorder="1"/>
    <xf numFmtId="0" fontId="9" fillId="0" borderId="3" xfId="0" applyFont="1" applyBorder="1"/>
    <xf numFmtId="0" fontId="9" fillId="0" borderId="10" xfId="0" applyFont="1" applyBorder="1"/>
    <xf numFmtId="0" fontId="15" fillId="9" borderId="12" xfId="0" applyFont="1" applyFill="1" applyBorder="1"/>
    <xf numFmtId="0" fontId="20" fillId="0" borderId="0" xfId="0" applyFont="1" applyBorder="1"/>
    <xf numFmtId="0" fontId="24" fillId="0" borderId="0" xfId="0" applyFont="1" applyBorder="1"/>
    <xf numFmtId="0" fontId="15" fillId="0" borderId="3" xfId="0" applyFont="1" applyBorder="1"/>
    <xf numFmtId="0" fontId="9" fillId="9" borderId="0" xfId="0" applyFont="1" applyFill="1" applyBorder="1"/>
    <xf numFmtId="0" fontId="9" fillId="10" borderId="0" xfId="0" applyFont="1" applyFill="1" applyBorder="1"/>
    <xf numFmtId="0" fontId="9" fillId="11" borderId="0" xfId="0" applyFont="1" applyFill="1" applyBorder="1"/>
    <xf numFmtId="0" fontId="9" fillId="12" borderId="0" xfId="0" applyFont="1" applyFill="1" applyBorder="1"/>
    <xf numFmtId="0" fontId="9" fillId="13" borderId="0" xfId="0" applyFont="1" applyFill="1" applyBorder="1"/>
    <xf numFmtId="0" fontId="9" fillId="14" borderId="0" xfId="0" applyFont="1" applyFill="1" applyBorder="1"/>
    <xf numFmtId="0" fontId="9" fillId="15" borderId="0" xfId="0" applyFont="1" applyFill="1" applyBorder="1"/>
    <xf numFmtId="0" fontId="9" fillId="16" borderId="0" xfId="0" applyFont="1" applyFill="1" applyBorder="1"/>
    <xf numFmtId="0" fontId="9" fillId="17" borderId="0" xfId="0" applyFont="1" applyFill="1" applyBorder="1"/>
    <xf numFmtId="0" fontId="9" fillId="18" borderId="0" xfId="0" applyFont="1" applyFill="1" applyBorder="1"/>
    <xf numFmtId="0" fontId="9" fillId="19" borderId="0" xfId="0" applyFont="1" applyFill="1" applyBorder="1"/>
    <xf numFmtId="0" fontId="9" fillId="0" borderId="0" xfId="0" applyFont="1" applyAlignment="1">
      <alignment vertical="top"/>
    </xf>
    <xf numFmtId="0" fontId="15" fillId="0" borderId="0" xfId="0" applyFont="1" applyAlignment="1">
      <alignment vertical="top"/>
    </xf>
    <xf numFmtId="0" fontId="9" fillId="0" borderId="3" xfId="0" applyFont="1" applyBorder="1" applyAlignment="1">
      <alignment vertical="top"/>
    </xf>
    <xf numFmtId="0" fontId="9" fillId="8" borderId="0" xfId="0" applyFont="1" applyFill="1"/>
    <xf numFmtId="0" fontId="9" fillId="0" borderId="0" xfId="0" applyFont="1" applyAlignment="1">
      <alignment horizontal="left"/>
    </xf>
    <xf numFmtId="0" fontId="15" fillId="0" borderId="0" xfId="0" applyFont="1"/>
    <xf numFmtId="0" fontId="24" fillId="0" borderId="0" xfId="0" applyFont="1"/>
    <xf numFmtId="0" fontId="9" fillId="9" borderId="0" xfId="0" applyFont="1" applyFill="1" applyBorder="1" applyAlignment="1">
      <alignment horizontal="left"/>
    </xf>
    <xf numFmtId="3" fontId="15" fillId="9" borderId="12" xfId="0" applyNumberFormat="1" applyFont="1" applyFill="1" applyBorder="1"/>
    <xf numFmtId="3" fontId="9" fillId="9" borderId="0" xfId="0" applyNumberFormat="1" applyFont="1" applyFill="1"/>
    <xf numFmtId="0" fontId="20" fillId="0" borderId="0" xfId="0" applyFont="1"/>
    <xf numFmtId="0" fontId="9" fillId="13" borderId="0" xfId="0" applyFont="1" applyFill="1" applyBorder="1" applyAlignment="1">
      <alignment horizontal="left"/>
    </xf>
    <xf numFmtId="3" fontId="9" fillId="13" borderId="0" xfId="0" applyNumberFormat="1" applyFont="1" applyFill="1" applyBorder="1"/>
    <xf numFmtId="3" fontId="9" fillId="0" borderId="0" xfId="0" applyNumberFormat="1" applyFont="1"/>
    <xf numFmtId="0" fontId="24" fillId="0" borderId="0" xfId="0" applyFont="1" applyAlignment="1">
      <alignment horizontal="left"/>
    </xf>
    <xf numFmtId="0" fontId="24" fillId="0" borderId="0" xfId="0" applyFont="1" applyAlignment="1">
      <alignment horizontal="right"/>
    </xf>
    <xf numFmtId="9" fontId="9" fillId="0" borderId="12" xfId="0" applyNumberFormat="1" applyFont="1" applyBorder="1"/>
    <xf numFmtId="3" fontId="9" fillId="0" borderId="3" xfId="0" applyNumberFormat="1" applyFont="1" applyBorder="1"/>
    <xf numFmtId="0" fontId="20" fillId="0" borderId="3" xfId="0" applyFont="1" applyBorder="1"/>
    <xf numFmtId="0" fontId="9" fillId="11" borderId="0" xfId="0" applyFont="1" applyFill="1" applyBorder="1" applyAlignment="1">
      <alignment horizontal="left"/>
    </xf>
    <xf numFmtId="3" fontId="9" fillId="11" borderId="0" xfId="0" applyNumberFormat="1" applyFont="1" applyFill="1" applyBorder="1"/>
    <xf numFmtId="0" fontId="9" fillId="0" borderId="4" xfId="0" applyFont="1" applyBorder="1"/>
    <xf numFmtId="3" fontId="9" fillId="0" borderId="2" xfId="0" applyNumberFormat="1" applyFont="1" applyBorder="1"/>
    <xf numFmtId="0" fontId="20" fillId="0" borderId="8" xfId="0" applyFont="1" applyBorder="1"/>
    <xf numFmtId="0" fontId="9" fillId="19" borderId="0" xfId="0" applyFont="1" applyFill="1" applyBorder="1" applyAlignment="1">
      <alignment horizontal="left"/>
    </xf>
    <xf numFmtId="3" fontId="15" fillId="19" borderId="12" xfId="0" applyNumberFormat="1" applyFont="1" applyFill="1" applyBorder="1"/>
    <xf numFmtId="3" fontId="9" fillId="19" borderId="0" xfId="0" applyNumberFormat="1" applyFont="1" applyFill="1"/>
    <xf numFmtId="3" fontId="24" fillId="0" borderId="0" xfId="0" applyNumberFormat="1" applyFont="1"/>
    <xf numFmtId="0" fontId="9" fillId="17" borderId="0" xfId="0" applyFont="1" applyFill="1" applyBorder="1" applyAlignment="1">
      <alignment horizontal="left"/>
    </xf>
    <xf numFmtId="3" fontId="9" fillId="17" borderId="0" xfId="0" applyNumberFormat="1" applyFont="1" applyFill="1" applyBorder="1" applyAlignment="1">
      <alignment horizontal="right"/>
    </xf>
    <xf numFmtId="0" fontId="15" fillId="0" borderId="0" xfId="0" applyFont="1" applyAlignment="1">
      <alignment horizontal="left"/>
    </xf>
    <xf numFmtId="0" fontId="9" fillId="15" borderId="0" xfId="0" applyFont="1" applyFill="1" applyBorder="1" applyAlignment="1">
      <alignment horizontal="left"/>
    </xf>
    <xf numFmtId="3" fontId="9" fillId="15" borderId="0" xfId="0" applyNumberFormat="1" applyFont="1" applyFill="1" applyBorder="1" applyAlignment="1">
      <alignment horizontal="right"/>
    </xf>
    <xf numFmtId="3" fontId="15" fillId="17" borderId="12" xfId="0" applyNumberFormat="1" applyFont="1" applyFill="1" applyBorder="1"/>
    <xf numFmtId="0" fontId="24" fillId="0" borderId="3" xfId="0" applyFont="1" applyBorder="1" applyAlignment="1">
      <alignment horizontal="right"/>
    </xf>
    <xf numFmtId="0" fontId="24" fillId="0" borderId="3" xfId="0" applyFont="1" applyBorder="1" applyAlignment="1">
      <alignment horizontal="left"/>
    </xf>
    <xf numFmtId="3" fontId="20" fillId="0" borderId="0" xfId="0" applyNumberFormat="1" applyFont="1" applyAlignment="1">
      <alignment horizontal="right"/>
    </xf>
    <xf numFmtId="0" fontId="9" fillId="10" borderId="0" xfId="0" applyFont="1" applyFill="1" applyBorder="1" applyAlignment="1">
      <alignment horizontal="left"/>
    </xf>
    <xf numFmtId="9" fontId="9" fillId="0" borderId="0" xfId="0" applyNumberFormat="1" applyFont="1" applyBorder="1"/>
    <xf numFmtId="0" fontId="9" fillId="12" borderId="0" xfId="0" applyFont="1" applyFill="1" applyBorder="1" applyAlignment="1">
      <alignment horizontal="left"/>
    </xf>
    <xf numFmtId="0" fontId="9" fillId="14" borderId="0" xfId="0" applyFont="1" applyFill="1" applyBorder="1" applyAlignment="1">
      <alignment horizontal="left"/>
    </xf>
    <xf numFmtId="0" fontId="9" fillId="18" borderId="0" xfId="0" applyFont="1" applyFill="1" applyBorder="1" applyAlignment="1">
      <alignment horizontal="left"/>
    </xf>
    <xf numFmtId="0" fontId="9" fillId="16" borderId="0" xfId="0" applyFont="1" applyFill="1" applyBorder="1" applyAlignment="1">
      <alignment horizontal="left"/>
    </xf>
    <xf numFmtId="3" fontId="9" fillId="17" borderId="0" xfId="0" applyNumberFormat="1" applyFont="1" applyFill="1" applyBorder="1" applyAlignment="1">
      <alignment horizontal="left"/>
    </xf>
    <xf numFmtId="0" fontId="18" fillId="0" borderId="0" xfId="0" applyFont="1"/>
    <xf numFmtId="3" fontId="15" fillId="15" borderId="12" xfId="0" applyNumberFormat="1" applyFont="1" applyFill="1" applyBorder="1"/>
    <xf numFmtId="0" fontId="20" fillId="0" borderId="0" xfId="0" applyFont="1" applyAlignment="1">
      <alignment horizontal="left"/>
    </xf>
    <xf numFmtId="3" fontId="15" fillId="0" borderId="0" xfId="0" applyNumberFormat="1" applyFont="1"/>
    <xf numFmtId="0" fontId="9" fillId="0" borderId="0" xfId="0" quotePrefix="1" applyFont="1" applyAlignment="1">
      <alignment horizontal="center"/>
    </xf>
    <xf numFmtId="0" fontId="9" fillId="0" borderId="13" xfId="0" applyFont="1" applyBorder="1" applyAlignment="1">
      <alignment horizontal="left"/>
    </xf>
    <xf numFmtId="0" fontId="9" fillId="0" borderId="5" xfId="0" applyFont="1" applyBorder="1" applyAlignment="1">
      <alignment horizontal="left"/>
    </xf>
    <xf numFmtId="168" fontId="9" fillId="0" borderId="0" xfId="0" applyNumberFormat="1" applyFont="1" applyBorder="1"/>
    <xf numFmtId="0" fontId="14" fillId="0" borderId="3" xfId="0" applyFont="1" applyBorder="1"/>
    <xf numFmtId="0" fontId="9" fillId="0" borderId="0" xfId="0" applyFont="1" applyAlignment="1">
      <alignment horizontal="center"/>
    </xf>
    <xf numFmtId="0" fontId="9" fillId="0" borderId="0" xfId="0" quotePrefix="1" applyFont="1"/>
    <xf numFmtId="0" fontId="9" fillId="0" borderId="0" xfId="0" quotePrefix="1" applyFont="1" applyAlignment="1">
      <alignment horizontal="center" vertical="center"/>
    </xf>
    <xf numFmtId="168" fontId="9" fillId="0" borderId="0" xfId="0" applyNumberFormat="1" applyFont="1"/>
    <xf numFmtId="0" fontId="9" fillId="7" borderId="0" xfId="0" applyFont="1" applyFill="1"/>
    <xf numFmtId="0" fontId="25" fillId="4" borderId="0" xfId="0" applyFont="1" applyFill="1"/>
    <xf numFmtId="0" fontId="23" fillId="4" borderId="3" xfId="0" applyFont="1" applyFill="1" applyBorder="1"/>
    <xf numFmtId="0" fontId="23" fillId="4" borderId="0" xfId="0" applyFont="1" applyFill="1"/>
    <xf numFmtId="0" fontId="15" fillId="4" borderId="0" xfId="0" applyFont="1" applyFill="1"/>
    <xf numFmtId="0" fontId="9" fillId="2" borderId="0" xfId="0" applyFont="1" applyFill="1"/>
    <xf numFmtId="0" fontId="9" fillId="3" borderId="0" xfId="0" applyFont="1" applyFill="1"/>
    <xf numFmtId="0" fontId="9" fillId="5" borderId="1" xfId="0" applyFont="1" applyFill="1" applyBorder="1"/>
    <xf numFmtId="0" fontId="26" fillId="4" borderId="0" xfId="0" applyFont="1" applyFill="1"/>
    <xf numFmtId="169" fontId="9" fillId="3" borderId="0" xfId="0" applyNumberFormat="1" applyFont="1" applyFill="1" applyBorder="1"/>
    <xf numFmtId="3" fontId="9" fillId="3" borderId="0" xfId="0" applyNumberFormat="1" applyFont="1" applyFill="1" applyBorder="1"/>
    <xf numFmtId="0" fontId="15" fillId="4" borderId="2" xfId="0" applyFont="1" applyFill="1" applyBorder="1" applyAlignment="1">
      <alignment horizontal="center" wrapText="1"/>
    </xf>
    <xf numFmtId="3" fontId="9" fillId="5" borderId="2" xfId="0" applyNumberFormat="1" applyFont="1" applyFill="1" applyBorder="1"/>
    <xf numFmtId="0" fontId="9" fillId="3" borderId="2" xfId="0" applyFont="1" applyFill="1" applyBorder="1"/>
    <xf numFmtId="3" fontId="9" fillId="3" borderId="2" xfId="0" applyNumberFormat="1" applyFont="1" applyFill="1" applyBorder="1" applyAlignment="1">
      <alignment horizontal="center"/>
    </xf>
    <xf numFmtId="0" fontId="16" fillId="2" borderId="2" xfId="0" applyFont="1" applyFill="1" applyBorder="1"/>
    <xf numFmtId="0" fontId="16" fillId="5" borderId="2" xfId="0" applyFont="1" applyFill="1" applyBorder="1"/>
    <xf numFmtId="0" fontId="9" fillId="4" borderId="0" xfId="0" applyFont="1" applyFill="1" applyAlignment="1">
      <alignment horizontal="center" wrapText="1"/>
    </xf>
    <xf numFmtId="0" fontId="16" fillId="4" borderId="0" xfId="0" applyFont="1" applyFill="1" applyAlignment="1">
      <alignment horizontal="right"/>
    </xf>
    <xf numFmtId="0" fontId="16" fillId="2" borderId="0" xfId="0" applyFont="1" applyFill="1"/>
    <xf numFmtId="0" fontId="16" fillId="5" borderId="0" xfId="0" applyFont="1" applyFill="1"/>
    <xf numFmtId="0" fontId="16" fillId="3" borderId="0" xfId="0" applyFont="1" applyFill="1"/>
    <xf numFmtId="43" fontId="16" fillId="3" borderId="0" xfId="1" applyFont="1" applyFill="1"/>
    <xf numFmtId="3" fontId="9" fillId="5" borderId="0" xfId="0" applyNumberFormat="1" applyFont="1" applyFill="1"/>
    <xf numFmtId="4" fontId="9" fillId="5" borderId="0" xfId="0" applyNumberFormat="1" applyFont="1" applyFill="1"/>
    <xf numFmtId="3" fontId="9" fillId="3" borderId="0" xfId="0" applyNumberFormat="1" applyFont="1" applyFill="1"/>
    <xf numFmtId="4" fontId="9" fillId="3" borderId="0" xfId="0" applyNumberFormat="1" applyFont="1" applyFill="1"/>
    <xf numFmtId="43" fontId="9" fillId="3" borderId="0" xfId="1" applyFont="1" applyFill="1"/>
    <xf numFmtId="37" fontId="9" fillId="3" borderId="0" xfId="1" applyNumberFormat="1" applyFont="1" applyFill="1" applyAlignment="1">
      <alignment horizontal="center"/>
    </xf>
    <xf numFmtId="0" fontId="9" fillId="5" borderId="0" xfId="0" applyFont="1" applyFill="1"/>
    <xf numFmtId="3" fontId="9" fillId="3" borderId="0" xfId="0" applyNumberFormat="1" applyFont="1" applyFill="1" applyAlignment="1">
      <alignment horizontal="right"/>
    </xf>
    <xf numFmtId="3" fontId="9" fillId="3" borderId="0" xfId="0" applyNumberFormat="1" applyFont="1" applyFill="1" applyAlignment="1">
      <alignment horizontal="left"/>
    </xf>
    <xf numFmtId="0" fontId="9" fillId="3" borderId="0" xfId="0" applyFont="1" applyFill="1" applyAlignment="1">
      <alignment horizontal="left"/>
    </xf>
    <xf numFmtId="37" fontId="9" fillId="3" borderId="0" xfId="0" applyNumberFormat="1" applyFont="1" applyFill="1" applyAlignment="1">
      <alignment horizontal="center"/>
    </xf>
    <xf numFmtId="0" fontId="9" fillId="2" borderId="3" xfId="0" applyFont="1" applyFill="1" applyBorder="1"/>
    <xf numFmtId="0" fontId="9" fillId="5" borderId="3" xfId="0" applyFont="1" applyFill="1" applyBorder="1"/>
    <xf numFmtId="0" fontId="9" fillId="3" borderId="3" xfId="0" applyFont="1" applyFill="1" applyBorder="1"/>
    <xf numFmtId="0" fontId="9" fillId="3" borderId="0" xfId="0" applyFont="1" applyFill="1" applyBorder="1"/>
    <xf numFmtId="43" fontId="9" fillId="3" borderId="3" xfId="1" applyFont="1" applyFill="1" applyBorder="1"/>
    <xf numFmtId="43" fontId="9" fillId="3" borderId="0" xfId="1" applyFont="1" applyFill="1" applyBorder="1"/>
    <xf numFmtId="0" fontId="16" fillId="2" borderId="3" xfId="0" applyFont="1" applyFill="1" applyBorder="1"/>
    <xf numFmtId="0" fontId="9" fillId="4" borderId="0" xfId="0" applyFont="1" applyFill="1" applyAlignment="1">
      <alignment horizontal="right"/>
    </xf>
    <xf numFmtId="3" fontId="9" fillId="3" borderId="12" xfId="0" applyNumberFormat="1" applyFont="1" applyFill="1" applyBorder="1"/>
    <xf numFmtId="37" fontId="20" fillId="3" borderId="12" xfId="0" applyNumberFormat="1" applyFont="1" applyFill="1" applyBorder="1" applyAlignment="1">
      <alignment horizontal="center"/>
    </xf>
    <xf numFmtId="0" fontId="17" fillId="4" borderId="0" xfId="0" applyFont="1" applyFill="1"/>
    <xf numFmtId="4" fontId="9" fillId="3" borderId="2" xfId="0" applyNumberFormat="1" applyFont="1" applyFill="1" applyBorder="1"/>
    <xf numFmtId="3" fontId="9" fillId="4" borderId="0" xfId="0" applyNumberFormat="1" applyFont="1" applyFill="1" applyAlignment="1">
      <alignment horizontal="center" wrapText="1"/>
    </xf>
    <xf numFmtId="0" fontId="16" fillId="5" borderId="0" xfId="0" applyFont="1" applyFill="1" applyAlignment="1">
      <alignment horizontal="center"/>
    </xf>
    <xf numFmtId="0" fontId="16" fillId="3" borderId="0" xfId="0" applyFont="1" applyFill="1" applyAlignment="1">
      <alignment horizontal="center"/>
    </xf>
    <xf numFmtId="43" fontId="16" fillId="3" borderId="0" xfId="0" applyNumberFormat="1" applyFont="1" applyFill="1"/>
    <xf numFmtId="3" fontId="9" fillId="5" borderId="0" xfId="0" applyNumberFormat="1" applyFont="1" applyFill="1" applyAlignment="1">
      <alignment horizontal="center"/>
    </xf>
    <xf numFmtId="3" fontId="9" fillId="4" borderId="0" xfId="0" applyNumberFormat="1" applyFont="1" applyFill="1"/>
    <xf numFmtId="0" fontId="9" fillId="5" borderId="0" xfId="0" applyFont="1" applyFill="1" applyAlignment="1">
      <alignment horizontal="center"/>
    </xf>
    <xf numFmtId="43" fontId="9" fillId="3" borderId="0" xfId="0" applyNumberFormat="1" applyFont="1" applyFill="1"/>
    <xf numFmtId="0" fontId="9" fillId="3" borderId="0" xfId="0" applyFont="1" applyFill="1" applyAlignment="1">
      <alignment horizontal="center"/>
    </xf>
    <xf numFmtId="43" fontId="9" fillId="3" borderId="3" xfId="0" applyNumberFormat="1" applyFont="1" applyFill="1" applyBorder="1"/>
    <xf numFmtId="0" fontId="16" fillId="4" borderId="0" xfId="0" applyFont="1" applyFill="1" applyBorder="1"/>
    <xf numFmtId="0" fontId="21" fillId="4" borderId="0" xfId="0" applyFont="1" applyFill="1"/>
    <xf numFmtId="0" fontId="27" fillId="4" borderId="0" xfId="0" applyFont="1" applyFill="1"/>
    <xf numFmtId="0" fontId="27" fillId="4" borderId="0" xfId="0" applyFont="1" applyFill="1" applyAlignment="1">
      <alignment horizontal="left" wrapText="1"/>
    </xf>
    <xf numFmtId="0" fontId="9" fillId="4" borderId="0" xfId="0" applyFont="1" applyFill="1" applyAlignment="1">
      <alignment horizontal="left"/>
    </xf>
    <xf numFmtId="9" fontId="9" fillId="4" borderId="0" xfId="0" applyNumberFormat="1" applyFont="1" applyFill="1" applyAlignment="1">
      <alignment horizontal="left"/>
    </xf>
    <xf numFmtId="0" fontId="20" fillId="4" borderId="0" xfId="0" applyFont="1" applyFill="1" applyBorder="1"/>
    <xf numFmtId="0" fontId="9" fillId="4" borderId="0" xfId="0" applyFont="1" applyFill="1" applyBorder="1" applyAlignment="1">
      <alignment wrapText="1"/>
    </xf>
    <xf numFmtId="0" fontId="20" fillId="4" borderId="0" xfId="0" applyFont="1" applyFill="1" applyBorder="1" applyAlignment="1">
      <alignment wrapText="1"/>
    </xf>
    <xf numFmtId="164" fontId="9" fillId="4" borderId="3" xfId="1" applyNumberFormat="1" applyFont="1" applyFill="1" applyBorder="1"/>
    <xf numFmtId="164" fontId="9" fillId="4" borderId="0" xfId="1" applyNumberFormat="1" applyFont="1" applyFill="1"/>
    <xf numFmtId="0" fontId="21" fillId="4" borderId="0" xfId="0" applyFont="1" applyFill="1" applyBorder="1"/>
    <xf numFmtId="164" fontId="9" fillId="4" borderId="0" xfId="1" applyNumberFormat="1" applyFont="1" applyFill="1" applyBorder="1"/>
    <xf numFmtId="0" fontId="15" fillId="4" borderId="2" xfId="0" applyFont="1" applyFill="1" applyBorder="1" applyAlignment="1">
      <alignment wrapText="1"/>
    </xf>
    <xf numFmtId="0" fontId="15" fillId="4" borderId="2" xfId="0" applyFont="1" applyFill="1" applyBorder="1" applyAlignment="1">
      <alignment horizontal="right" wrapText="1"/>
    </xf>
    <xf numFmtId="164" fontId="15" fillId="4" borderId="2" xfId="1" applyNumberFormat="1" applyFont="1" applyFill="1" applyBorder="1" applyAlignment="1">
      <alignment horizontal="right" wrapText="1"/>
    </xf>
    <xf numFmtId="0" fontId="15" fillId="4" borderId="4" xfId="0" applyFont="1" applyFill="1" applyBorder="1" applyAlignment="1">
      <alignment horizontal="center" wrapText="1"/>
    </xf>
    <xf numFmtId="0" fontId="16" fillId="4" borderId="3" xfId="0" applyFont="1" applyFill="1" applyBorder="1"/>
    <xf numFmtId="0" fontId="16" fillId="4" borderId="3" xfId="0" applyFont="1" applyFill="1" applyBorder="1" applyAlignment="1">
      <alignment horizontal="right"/>
    </xf>
    <xf numFmtId="164" fontId="16" fillId="4" borderId="3" xfId="1" applyNumberFormat="1" applyFont="1" applyFill="1" applyBorder="1" applyAlignment="1">
      <alignment horizontal="right"/>
    </xf>
    <xf numFmtId="0" fontId="9" fillId="4" borderId="6" xfId="0" applyFont="1" applyFill="1" applyBorder="1" applyAlignment="1">
      <alignment horizontal="center"/>
    </xf>
    <xf numFmtId="164" fontId="9" fillId="4" borderId="0" xfId="1" applyNumberFormat="1" applyFont="1" applyFill="1" applyBorder="1" applyAlignment="1">
      <alignment horizontal="center"/>
    </xf>
    <xf numFmtId="43" fontId="9" fillId="4" borderId="0" xfId="1" applyFont="1" applyFill="1" applyBorder="1" applyAlignment="1">
      <alignment horizontal="right"/>
    </xf>
    <xf numFmtId="164" fontId="9" fillId="4" borderId="5" xfId="0" applyNumberFormat="1" applyFont="1" applyFill="1" applyBorder="1"/>
    <xf numFmtId="3" fontId="9" fillId="4" borderId="0" xfId="0" applyNumberFormat="1" applyFont="1" applyFill="1" applyBorder="1"/>
    <xf numFmtId="0" fontId="15" fillId="4" borderId="0" xfId="0" applyFont="1" applyFill="1" applyBorder="1" applyAlignment="1">
      <alignment horizontal="center" wrapText="1"/>
    </xf>
    <xf numFmtId="0" fontId="15" fillId="4" borderId="0" xfId="0" applyFont="1" applyFill="1" applyBorder="1" applyAlignment="1">
      <alignment wrapText="1"/>
    </xf>
    <xf numFmtId="43" fontId="9" fillId="4" borderId="0" xfId="1" applyFont="1" applyFill="1" applyBorder="1"/>
    <xf numFmtId="43" fontId="9" fillId="4" borderId="0" xfId="0" applyNumberFormat="1" applyFont="1" applyFill="1" applyBorder="1"/>
    <xf numFmtId="43" fontId="15" fillId="4" borderId="0" xfId="1" applyFont="1" applyFill="1" applyBorder="1"/>
    <xf numFmtId="164" fontId="9" fillId="4" borderId="3" xfId="1" applyNumberFormat="1" applyFont="1" applyFill="1" applyBorder="1" applyAlignment="1">
      <alignment horizontal="center"/>
    </xf>
    <xf numFmtId="43" fontId="9" fillId="4" borderId="3" xfId="1" applyFont="1" applyFill="1" applyBorder="1" applyAlignment="1">
      <alignment horizontal="right"/>
    </xf>
    <xf numFmtId="164" fontId="9" fillId="4" borderId="6" xfId="0" applyNumberFormat="1" applyFont="1" applyFill="1" applyBorder="1"/>
    <xf numFmtId="0" fontId="16" fillId="4" borderId="0" xfId="0" applyFont="1" applyFill="1" applyBorder="1" applyAlignment="1">
      <alignment horizontal="right"/>
    </xf>
    <xf numFmtId="164" fontId="16" fillId="4" borderId="0" xfId="1" applyNumberFormat="1" applyFont="1" applyFill="1" applyBorder="1" applyAlignment="1">
      <alignment horizontal="right"/>
    </xf>
    <xf numFmtId="0" fontId="9" fillId="4" borderId="0" xfId="0" applyFont="1" applyFill="1" applyBorder="1" applyAlignment="1">
      <alignment horizontal="center"/>
    </xf>
    <xf numFmtId="0" fontId="15" fillId="4" borderId="0" xfId="0" applyFont="1" applyFill="1" applyBorder="1"/>
    <xf numFmtId="0" fontId="28" fillId="4" borderId="0" xfId="0" applyFont="1" applyFill="1"/>
    <xf numFmtId="0" fontId="29" fillId="4" borderId="0" xfId="0" applyFont="1" applyFill="1"/>
    <xf numFmtId="164" fontId="20" fillId="4" borderId="0" xfId="1" applyNumberFormat="1" applyFont="1" applyFill="1"/>
    <xf numFmtId="0" fontId="30" fillId="4" borderId="2" xfId="0" applyFont="1" applyFill="1" applyBorder="1"/>
    <xf numFmtId="164" fontId="20" fillId="4" borderId="0" xfId="1" applyNumberFormat="1" applyFont="1" applyFill="1" applyBorder="1"/>
    <xf numFmtId="0" fontId="30" fillId="4" borderId="0" xfId="0" applyFont="1" applyFill="1" applyBorder="1"/>
    <xf numFmtId="43" fontId="9" fillId="4" borderId="0" xfId="1" applyFont="1" applyFill="1" applyBorder="1" applyAlignment="1">
      <alignment horizontal="center"/>
    </xf>
    <xf numFmtId="0" fontId="31" fillId="4" borderId="0" xfId="0" applyFont="1" applyFill="1" applyBorder="1"/>
    <xf numFmtId="0" fontId="32" fillId="4" borderId="0" xfId="0" applyFont="1" applyFill="1" applyBorder="1"/>
    <xf numFmtId="0" fontId="33" fillId="4" borderId="0" xfId="0" applyFont="1" applyFill="1" applyBorder="1"/>
    <xf numFmtId="0" fontId="15" fillId="4" borderId="2" xfId="0" applyFont="1" applyFill="1" applyBorder="1"/>
    <xf numFmtId="0" fontId="30" fillId="4" borderId="2" xfId="0" applyFont="1" applyFill="1" applyBorder="1" applyAlignment="1">
      <alignment horizontal="center" wrapText="1"/>
    </xf>
    <xf numFmtId="0" fontId="34" fillId="4" borderId="0" xfId="0" applyFont="1" applyFill="1"/>
    <xf numFmtId="164" fontId="9" fillId="3" borderId="0" xfId="1" applyNumberFormat="1" applyFont="1" applyFill="1"/>
    <xf numFmtId="0" fontId="9" fillId="3" borderId="3" xfId="0" applyFont="1" applyFill="1" applyBorder="1" applyAlignment="1">
      <alignment horizontal="right"/>
    </xf>
    <xf numFmtId="166" fontId="9" fillId="3" borderId="3" xfId="1" applyNumberFormat="1" applyFont="1" applyFill="1" applyBorder="1" applyAlignment="1">
      <alignment horizontal="right"/>
    </xf>
    <xf numFmtId="43" fontId="9" fillId="3" borderId="3" xfId="1" applyFont="1" applyFill="1" applyBorder="1" applyAlignment="1">
      <alignment horizontal="right"/>
    </xf>
    <xf numFmtId="0" fontId="35" fillId="4" borderId="0" xfId="0" applyFont="1" applyFill="1" applyBorder="1"/>
    <xf numFmtId="0" fontId="15" fillId="4" borderId="2" xfId="0" applyFont="1" applyFill="1" applyBorder="1" applyAlignment="1">
      <alignment horizontal="center"/>
    </xf>
    <xf numFmtId="165" fontId="9" fillId="3" borderId="0" xfId="0" applyNumberFormat="1" applyFont="1" applyFill="1"/>
    <xf numFmtId="167" fontId="9" fillId="4" borderId="0" xfId="0" applyNumberFormat="1" applyFont="1" applyFill="1"/>
    <xf numFmtId="0" fontId="36" fillId="4" borderId="0" xfId="0" applyFont="1" applyFill="1" applyAlignment="1">
      <alignment horizontal="left" indent="1"/>
    </xf>
    <xf numFmtId="0" fontId="37" fillId="4" borderId="0" xfId="0" applyFont="1" applyFill="1"/>
    <xf numFmtId="166" fontId="9" fillId="3" borderId="3" xfId="0" applyNumberFormat="1" applyFont="1" applyFill="1" applyBorder="1"/>
    <xf numFmtId="0" fontId="25" fillId="4" borderId="0" xfId="0" applyFont="1" applyFill="1" applyAlignment="1">
      <alignment horizontal="center" wrapText="1"/>
    </xf>
    <xf numFmtId="3" fontId="9" fillId="5" borderId="0" xfId="0" applyNumberFormat="1" applyFont="1" applyFill="1" applyAlignment="1">
      <alignment horizontal="right"/>
    </xf>
    <xf numFmtId="9" fontId="9" fillId="2" borderId="0" xfId="0" applyNumberFormat="1" applyFont="1" applyFill="1"/>
    <xf numFmtId="37" fontId="9" fillId="3" borderId="0" xfId="1" applyNumberFormat="1" applyFont="1" applyFill="1"/>
    <xf numFmtId="164" fontId="9" fillId="5" borderId="0" xfId="0" applyNumberFormat="1" applyFont="1" applyFill="1"/>
    <xf numFmtId="3" fontId="38" fillId="6" borderId="0" xfId="0" applyNumberFormat="1" applyFont="1" applyFill="1"/>
    <xf numFmtId="0" fontId="38" fillId="6" borderId="0" xfId="0" applyFont="1" applyFill="1"/>
    <xf numFmtId="9" fontId="9" fillId="2" borderId="3" xfId="0" applyNumberFormat="1" applyFont="1" applyFill="1" applyBorder="1"/>
    <xf numFmtId="164" fontId="9" fillId="3" borderId="3" xfId="1" applyNumberFormat="1" applyFont="1" applyFill="1" applyBorder="1"/>
    <xf numFmtId="164" fontId="9" fillId="3" borderId="0" xfId="1" applyNumberFormat="1" applyFont="1" applyFill="1" applyBorder="1"/>
    <xf numFmtId="37" fontId="9" fillId="4" borderId="0" xfId="0" applyNumberFormat="1" applyFont="1" applyFill="1"/>
    <xf numFmtId="37" fontId="15" fillId="3" borderId="12" xfId="0" applyNumberFormat="1" applyFont="1" applyFill="1" applyBorder="1"/>
    <xf numFmtId="0" fontId="39" fillId="4" borderId="0" xfId="0" applyFont="1" applyFill="1"/>
    <xf numFmtId="0" fontId="16" fillId="5" borderId="0" xfId="0" applyFont="1" applyFill="1" applyAlignment="1">
      <alignment horizontal="left" indent="1"/>
    </xf>
    <xf numFmtId="0" fontId="16" fillId="2" borderId="0" xfId="0" applyFont="1" applyFill="1" applyAlignment="1">
      <alignment horizontal="left" indent="1"/>
    </xf>
    <xf numFmtId="164" fontId="16" fillId="5" borderId="0" xfId="1" applyNumberFormat="1" applyFont="1" applyFill="1"/>
    <xf numFmtId="166" fontId="16" fillId="3" borderId="0" xfId="1" applyNumberFormat="1" applyFont="1" applyFill="1"/>
    <xf numFmtId="164" fontId="16" fillId="3" borderId="0" xfId="1" applyNumberFormat="1" applyFont="1" applyFill="1"/>
    <xf numFmtId="0" fontId="16" fillId="2" borderId="0" xfId="0" applyNumberFormat="1" applyFont="1" applyFill="1"/>
    <xf numFmtId="43" fontId="9" fillId="5" borderId="0" xfId="1" applyFont="1" applyFill="1"/>
    <xf numFmtId="0" fontId="9" fillId="2" borderId="0" xfId="0" applyFont="1" applyFill="1" applyAlignment="1">
      <alignment horizontal="left" indent="1"/>
    </xf>
    <xf numFmtId="164" fontId="9" fillId="5" borderId="0" xfId="1" applyNumberFormat="1" applyFont="1" applyFill="1"/>
    <xf numFmtId="0" fontId="9" fillId="5" borderId="0" xfId="0" applyFont="1" applyFill="1" applyAlignment="1">
      <alignment horizontal="right"/>
    </xf>
    <xf numFmtId="164" fontId="9" fillId="5" borderId="0" xfId="1" applyNumberFormat="1" applyFont="1" applyFill="1" applyAlignment="1">
      <alignment horizontal="right"/>
    </xf>
    <xf numFmtId="164" fontId="9" fillId="5" borderId="0" xfId="1" applyNumberFormat="1" applyFont="1" applyFill="1" applyBorder="1" applyAlignment="1">
      <alignment horizontal="right"/>
    </xf>
    <xf numFmtId="166" fontId="16" fillId="3" borderId="3" xfId="1" applyNumberFormat="1" applyFont="1" applyFill="1" applyBorder="1"/>
    <xf numFmtId="0" fontId="9" fillId="4" borderId="2" xfId="0" applyFont="1" applyFill="1" applyBorder="1"/>
    <xf numFmtId="3" fontId="15" fillId="4" borderId="2" xfId="0" applyNumberFormat="1" applyFont="1" applyFill="1" applyBorder="1" applyAlignment="1">
      <alignment horizontal="right"/>
    </xf>
    <xf numFmtId="164" fontId="15" fillId="3" borderId="0" xfId="0" applyNumberFormat="1" applyFont="1" applyFill="1"/>
    <xf numFmtId="3" fontId="9" fillId="0" borderId="0" xfId="0" applyNumberFormat="1" applyFont="1" applyFill="1"/>
    <xf numFmtId="3" fontId="15" fillId="4" borderId="0" xfId="0" applyNumberFormat="1" applyFont="1" applyFill="1"/>
    <xf numFmtId="0" fontId="25" fillId="4" borderId="3" xfId="0" applyFont="1" applyFill="1" applyBorder="1"/>
    <xf numFmtId="0" fontId="25" fillId="4" borderId="0" xfId="0" applyFont="1" applyFill="1" applyBorder="1"/>
    <xf numFmtId="0" fontId="25" fillId="4" borderId="0" xfId="0" applyFont="1" applyFill="1" applyAlignment="1">
      <alignment horizontal="left" wrapText="1"/>
    </xf>
    <xf numFmtId="0" fontId="9" fillId="4" borderId="0" xfId="0" applyFont="1" applyFill="1" applyAlignment="1">
      <alignment horizontal="left" wrapText="1"/>
    </xf>
    <xf numFmtId="0" fontId="32" fillId="4" borderId="0" xfId="0" applyFont="1" applyFill="1"/>
    <xf numFmtId="43" fontId="9" fillId="4" borderId="0" xfId="1" applyFont="1" applyFill="1"/>
    <xf numFmtId="43" fontId="9" fillId="4" borderId="3" xfId="1" applyFont="1" applyFill="1" applyBorder="1"/>
    <xf numFmtId="0" fontId="9" fillId="4" borderId="2" xfId="0" applyFont="1" applyFill="1" applyBorder="1" applyAlignment="1">
      <alignment wrapText="1"/>
    </xf>
    <xf numFmtId="0" fontId="30" fillId="4" borderId="2" xfId="0" applyFont="1" applyFill="1" applyBorder="1" applyAlignment="1">
      <alignment wrapText="1"/>
    </xf>
    <xf numFmtId="164" fontId="33" fillId="4" borderId="0" xfId="1" applyNumberFormat="1" applyFont="1" applyFill="1" applyBorder="1"/>
    <xf numFmtId="164" fontId="9" fillId="4" borderId="0" xfId="0" applyNumberFormat="1" applyFont="1" applyFill="1" applyBorder="1"/>
    <xf numFmtId="43" fontId="33" fillId="4" borderId="0" xfId="1" applyFont="1" applyFill="1" applyBorder="1"/>
    <xf numFmtId="164" fontId="9" fillId="4" borderId="0" xfId="1" applyNumberFormat="1" applyFont="1" applyFill="1" applyBorder="1" applyAlignment="1">
      <alignment horizontal="right"/>
    </xf>
    <xf numFmtId="0" fontId="40" fillId="4" borderId="0" xfId="0" applyFont="1" applyFill="1"/>
    <xf numFmtId="164" fontId="33" fillId="4" borderId="3" xfId="1" applyNumberFormat="1" applyFont="1" applyFill="1" applyBorder="1"/>
    <xf numFmtId="43" fontId="33" fillId="4" borderId="3" xfId="1" applyFont="1" applyFill="1" applyBorder="1"/>
    <xf numFmtId="164" fontId="9" fillId="4" borderId="3" xfId="0" applyNumberFormat="1" applyFont="1" applyFill="1" applyBorder="1"/>
    <xf numFmtId="0" fontId="41" fillId="4" borderId="0" xfId="0" applyFont="1" applyFill="1"/>
    <xf numFmtId="0" fontId="42" fillId="4" borderId="0" xfId="0" applyFont="1" applyFill="1" applyBorder="1"/>
    <xf numFmtId="0" fontId="41" fillId="4" borderId="0" xfId="0" applyFont="1" applyFill="1" applyBorder="1"/>
    <xf numFmtId="164" fontId="43" fillId="4" borderId="0" xfId="1" applyNumberFormat="1" applyFont="1" applyFill="1" applyBorder="1"/>
    <xf numFmtId="0" fontId="44" fillId="4" borderId="0" xfId="0" applyFont="1" applyFill="1" applyBorder="1"/>
    <xf numFmtId="0" fontId="30" fillId="4" borderId="2" xfId="0" applyFont="1" applyFill="1" applyBorder="1" applyAlignment="1">
      <alignment horizontal="center"/>
    </xf>
    <xf numFmtId="164" fontId="9" fillId="4" borderId="0" xfId="1" applyNumberFormat="1" applyFont="1" applyFill="1" applyAlignment="1">
      <alignment horizontal="right"/>
    </xf>
    <xf numFmtId="0" fontId="33" fillId="4" borderId="0" xfId="0" applyFont="1" applyFill="1"/>
    <xf numFmtId="164" fontId="9" fillId="4" borderId="3" xfId="1" applyNumberFormat="1" applyFont="1" applyFill="1" applyBorder="1" applyAlignment="1">
      <alignment horizontal="right"/>
    </xf>
    <xf numFmtId="0" fontId="45" fillId="4" borderId="3" xfId="0" applyFont="1" applyFill="1" applyBorder="1"/>
    <xf numFmtId="0" fontId="31" fillId="4" borderId="0" xfId="0" applyFont="1" applyFill="1"/>
    <xf numFmtId="0" fontId="9" fillId="3" borderId="0" xfId="0" applyFont="1" applyFill="1" applyAlignment="1">
      <alignment horizontal="right"/>
    </xf>
    <xf numFmtId="0" fontId="9" fillId="4" borderId="0" xfId="0" applyFont="1" applyFill="1" applyBorder="1" applyAlignment="1">
      <alignment horizontal="left"/>
    </xf>
    <xf numFmtId="0" fontId="15" fillId="4" borderId="0" xfId="0" applyFont="1" applyFill="1" applyAlignment="1">
      <alignment horizontal="left"/>
    </xf>
    <xf numFmtId="9" fontId="9" fillId="3" borderId="0" xfId="2" applyFont="1" applyFill="1"/>
    <xf numFmtId="0" fontId="9" fillId="4" borderId="0" xfId="0" applyFont="1" applyFill="1" applyBorder="1" applyAlignment="1">
      <alignment horizontal="center" wrapText="1"/>
    </xf>
    <xf numFmtId="43" fontId="16" fillId="3" borderId="0" xfId="1" applyFont="1" applyFill="1" applyAlignment="1">
      <alignment horizontal="right"/>
    </xf>
    <xf numFmtId="165" fontId="16" fillId="3" borderId="0" xfId="1" applyNumberFormat="1" applyFont="1" applyFill="1"/>
    <xf numFmtId="0" fontId="16" fillId="2" borderId="0" xfId="0" applyFont="1" applyFill="1" applyBorder="1" applyAlignment="1">
      <alignment wrapText="1"/>
    </xf>
    <xf numFmtId="164" fontId="16" fillId="3" borderId="0" xfId="1" applyNumberFormat="1" applyFont="1" applyFill="1" applyBorder="1" applyAlignment="1">
      <alignment wrapText="1"/>
    </xf>
    <xf numFmtId="0" fontId="16" fillId="5" borderId="0" xfId="0" applyFont="1" applyFill="1" applyBorder="1" applyAlignment="1">
      <alignment wrapText="1"/>
    </xf>
    <xf numFmtId="0" fontId="16" fillId="5" borderId="0" xfId="0" applyFont="1" applyFill="1" applyBorder="1" applyAlignment="1">
      <alignment horizontal="center" wrapText="1"/>
    </xf>
    <xf numFmtId="0" fontId="16" fillId="2" borderId="0" xfId="0" applyFont="1" applyFill="1" applyBorder="1" applyAlignment="1">
      <alignment horizontal="center" wrapText="1"/>
    </xf>
    <xf numFmtId="43" fontId="9" fillId="3" borderId="0" xfId="1" applyFont="1" applyFill="1" applyAlignment="1">
      <alignment horizontal="right"/>
    </xf>
    <xf numFmtId="164" fontId="9" fillId="3" borderId="0" xfId="1" applyNumberFormat="1" applyFont="1" applyFill="1" applyBorder="1" applyAlignment="1">
      <alignment wrapText="1"/>
    </xf>
    <xf numFmtId="0" fontId="9" fillId="5" borderId="0" xfId="0" applyFont="1" applyFill="1" applyBorder="1" applyAlignment="1">
      <alignment wrapText="1"/>
    </xf>
    <xf numFmtId="43" fontId="16" fillId="3" borderId="3" xfId="1" applyFont="1" applyFill="1" applyBorder="1"/>
    <xf numFmtId="0" fontId="16" fillId="2" borderId="3" xfId="0" applyFont="1" applyFill="1" applyBorder="1" applyAlignment="1">
      <alignment wrapText="1"/>
    </xf>
    <xf numFmtId="164" fontId="9" fillId="3" borderId="3" xfId="1" applyNumberFormat="1" applyFont="1" applyFill="1" applyBorder="1" applyAlignment="1">
      <alignment wrapText="1"/>
    </xf>
    <xf numFmtId="0" fontId="9" fillId="5" borderId="3" xfId="0" applyFont="1" applyFill="1" applyBorder="1" applyAlignment="1">
      <alignment wrapText="1"/>
    </xf>
    <xf numFmtId="164" fontId="16" fillId="3" borderId="3" xfId="1" applyNumberFormat="1" applyFont="1" applyFill="1" applyBorder="1" applyAlignment="1">
      <alignment wrapText="1"/>
    </xf>
    <xf numFmtId="0" fontId="16" fillId="2" borderId="3" xfId="0" applyFont="1" applyFill="1" applyBorder="1" applyAlignment="1">
      <alignment horizontal="center" wrapText="1"/>
    </xf>
    <xf numFmtId="0" fontId="15" fillId="4" borderId="2" xfId="0" applyFont="1" applyFill="1" applyBorder="1" applyAlignment="1">
      <alignment horizontal="right"/>
    </xf>
    <xf numFmtId="3" fontId="9" fillId="3" borderId="2" xfId="0" applyNumberFormat="1" applyFont="1" applyFill="1" applyBorder="1"/>
    <xf numFmtId="0" fontId="9" fillId="3" borderId="2" xfId="0" applyFont="1" applyFill="1" applyBorder="1" applyAlignment="1">
      <alignment horizontal="center"/>
    </xf>
    <xf numFmtId="164" fontId="15" fillId="3" borderId="2" xfId="1" applyNumberFormat="1" applyFont="1" applyFill="1" applyBorder="1" applyAlignment="1">
      <alignment horizontal="right"/>
    </xf>
    <xf numFmtId="0" fontId="15" fillId="4" borderId="2" xfId="0" applyFont="1" applyFill="1" applyBorder="1" applyAlignment="1">
      <alignment horizontal="left" indent="1"/>
    </xf>
    <xf numFmtId="9" fontId="9" fillId="3" borderId="0" xfId="0" applyNumberFormat="1" applyFont="1" applyFill="1"/>
    <xf numFmtId="43" fontId="9" fillId="3" borderId="0" xfId="0" applyNumberFormat="1" applyFont="1" applyFill="1" applyAlignment="1">
      <alignment horizontal="right"/>
    </xf>
    <xf numFmtId="43" fontId="15" fillId="3" borderId="0" xfId="0" applyNumberFormat="1" applyFont="1" applyFill="1" applyBorder="1"/>
    <xf numFmtId="43" fontId="15" fillId="3" borderId="0" xfId="0" applyNumberFormat="1" applyFont="1" applyFill="1" applyBorder="1" applyAlignment="1">
      <alignment horizontal="right"/>
    </xf>
    <xf numFmtId="9" fontId="9" fillId="3" borderId="3" xfId="0" applyNumberFormat="1" applyFont="1" applyFill="1" applyBorder="1"/>
    <xf numFmtId="43" fontId="15" fillId="3" borderId="3" xfId="0" applyNumberFormat="1" applyFont="1" applyFill="1" applyBorder="1" applyAlignment="1">
      <alignment horizontal="right"/>
    </xf>
    <xf numFmtId="43" fontId="15" fillId="4" borderId="2" xfId="0" applyNumberFormat="1" applyFont="1" applyFill="1" applyBorder="1" applyAlignment="1">
      <alignment horizontal="right"/>
    </xf>
    <xf numFmtId="43" fontId="15" fillId="4" borderId="0" xfId="0" applyNumberFormat="1" applyFont="1" applyFill="1" applyBorder="1"/>
    <xf numFmtId="43" fontId="9" fillId="3" borderId="2" xfId="0" applyNumberFormat="1" applyFont="1" applyFill="1" applyBorder="1"/>
    <xf numFmtId="164" fontId="9" fillId="3" borderId="2" xfId="1" applyNumberFormat="1" applyFont="1" applyFill="1" applyBorder="1"/>
    <xf numFmtId="43" fontId="9" fillId="4" borderId="0" xfId="0" applyNumberFormat="1" applyFont="1" applyFill="1"/>
    <xf numFmtId="0" fontId="9" fillId="4" borderId="0" xfId="0" applyFont="1" applyFill="1" applyAlignment="1">
      <alignment horizontal="left" indent="4"/>
    </xf>
    <xf numFmtId="43" fontId="15" fillId="3" borderId="0" xfId="1" applyFont="1" applyFill="1"/>
    <xf numFmtId="0" fontId="15" fillId="4" borderId="0" xfId="0" applyFont="1" applyFill="1" applyAlignment="1">
      <alignment horizontal="left" indent="4"/>
    </xf>
    <xf numFmtId="43" fontId="15" fillId="4" borderId="0" xfId="1" applyFont="1" applyFill="1"/>
    <xf numFmtId="43" fontId="15" fillId="3" borderId="0" xfId="1" applyNumberFormat="1" applyFont="1" applyFill="1" applyBorder="1"/>
    <xf numFmtId="43" fontId="15" fillId="4" borderId="0" xfId="1" applyNumberFormat="1" applyFont="1" applyFill="1" applyBorder="1"/>
    <xf numFmtId="43" fontId="15" fillId="3" borderId="0" xfId="0" applyNumberFormat="1" applyFont="1" applyFill="1"/>
    <xf numFmtId="164" fontId="15" fillId="4" borderId="0" xfId="0" applyNumberFormat="1" applyFont="1" applyFill="1"/>
    <xf numFmtId="43" fontId="15" fillId="3" borderId="3" xfId="0" applyNumberFormat="1" applyFont="1" applyFill="1" applyBorder="1"/>
    <xf numFmtId="0" fontId="26" fillId="4" borderId="3" xfId="0" applyFont="1" applyFill="1" applyBorder="1"/>
    <xf numFmtId="0" fontId="15" fillId="4" borderId="3" xfId="0" applyFont="1" applyFill="1" applyBorder="1"/>
    <xf numFmtId="0" fontId="27" fillId="4" borderId="0" xfId="0" applyFont="1" applyFill="1" applyBorder="1"/>
    <xf numFmtId="0" fontId="9" fillId="4" borderId="2" xfId="0" applyFont="1" applyFill="1" applyBorder="1" applyAlignment="1">
      <alignment horizontal="center"/>
    </xf>
    <xf numFmtId="0" fontId="15" fillId="3" borderId="0" xfId="0" applyFont="1" applyFill="1"/>
    <xf numFmtId="0" fontId="46" fillId="4" borderId="2" xfId="0" applyFont="1" applyFill="1" applyBorder="1" applyAlignment="1">
      <alignment wrapText="1"/>
    </xf>
    <xf numFmtId="0" fontId="9" fillId="3" borderId="5" xfId="0" applyFont="1" applyFill="1" applyBorder="1"/>
    <xf numFmtId="43" fontId="9" fillId="4" borderId="5" xfId="1" applyFont="1" applyFill="1" applyBorder="1"/>
    <xf numFmtId="43" fontId="15" fillId="3" borderId="5" xfId="1" applyFont="1" applyFill="1" applyBorder="1"/>
    <xf numFmtId="43" fontId="9" fillId="4" borderId="6" xfId="1" applyFont="1" applyFill="1" applyBorder="1"/>
    <xf numFmtId="0" fontId="46" fillId="4" borderId="2" xfId="0" applyFont="1" applyFill="1" applyBorder="1" applyAlignment="1">
      <alignment horizontal="center" wrapText="1"/>
    </xf>
    <xf numFmtId="0" fontId="9" fillId="3" borderId="5" xfId="0" applyFont="1" applyFill="1" applyBorder="1" applyAlignment="1">
      <alignment horizontal="center"/>
    </xf>
    <xf numFmtId="43" fontId="9" fillId="4" borderId="0" xfId="1" applyFont="1" applyFill="1" applyAlignment="1">
      <alignment horizontal="center"/>
    </xf>
    <xf numFmtId="43" fontId="9" fillId="4" borderId="5" xfId="1" applyFont="1" applyFill="1" applyBorder="1" applyAlignment="1">
      <alignment horizontal="center"/>
    </xf>
    <xf numFmtId="0" fontId="9" fillId="4" borderId="5" xfId="0" applyFont="1" applyFill="1" applyBorder="1" applyAlignment="1">
      <alignment horizontal="center"/>
    </xf>
    <xf numFmtId="43" fontId="9" fillId="4" borderId="3" xfId="1" applyFont="1" applyFill="1" applyBorder="1" applyAlignment="1">
      <alignment horizontal="center"/>
    </xf>
    <xf numFmtId="43" fontId="9" fillId="4" borderId="6" xfId="1" applyFont="1" applyFill="1" applyBorder="1" applyAlignment="1">
      <alignment horizontal="center"/>
    </xf>
    <xf numFmtId="0" fontId="26" fillId="4" borderId="0" xfId="0" applyFont="1" applyFill="1" applyAlignment="1">
      <alignment wrapText="1"/>
    </xf>
    <xf numFmtId="9" fontId="9" fillId="5" borderId="0" xfId="2" applyFont="1" applyFill="1"/>
    <xf numFmtId="168" fontId="9" fillId="3" borderId="2" xfId="0" applyNumberFormat="1" applyFont="1" applyFill="1" applyBorder="1"/>
    <xf numFmtId="0" fontId="16" fillId="4" borderId="0" xfId="0" applyFont="1" applyFill="1" applyAlignment="1">
      <alignment horizontal="right" wrapText="1"/>
    </xf>
    <xf numFmtId="3" fontId="16" fillId="5" borderId="0" xfId="0" applyNumberFormat="1" applyFont="1" applyFill="1" applyBorder="1" applyAlignment="1">
      <alignment wrapText="1"/>
    </xf>
    <xf numFmtId="9" fontId="16" fillId="2" borderId="0" xfId="2" applyFont="1" applyFill="1" applyBorder="1" applyAlignment="1">
      <alignment horizontal="center" wrapText="1"/>
    </xf>
    <xf numFmtId="164" fontId="16" fillId="3" borderId="0" xfId="0" applyNumberFormat="1" applyFont="1" applyFill="1" applyBorder="1" applyAlignment="1">
      <alignment wrapText="1"/>
    </xf>
    <xf numFmtId="0" fontId="9" fillId="2" borderId="0" xfId="0" applyFont="1" applyFill="1" applyBorder="1" applyAlignment="1">
      <alignment wrapText="1"/>
    </xf>
    <xf numFmtId="9" fontId="9" fillId="2" borderId="0" xfId="2" applyFont="1" applyFill="1" applyBorder="1" applyAlignment="1">
      <alignment horizontal="center" wrapText="1"/>
    </xf>
    <xf numFmtId="4" fontId="9" fillId="5" borderId="0" xfId="0" applyNumberFormat="1" applyFont="1" applyFill="1" applyBorder="1" applyAlignment="1">
      <alignment wrapText="1"/>
    </xf>
    <xf numFmtId="164" fontId="9" fillId="3" borderId="0" xfId="0" applyNumberFormat="1" applyFont="1" applyFill="1" applyBorder="1" applyAlignment="1">
      <alignment wrapText="1"/>
    </xf>
    <xf numFmtId="0" fontId="9" fillId="2" borderId="0" xfId="0" applyFont="1" applyFill="1" applyBorder="1" applyAlignment="1">
      <alignment horizontal="center" wrapText="1"/>
    </xf>
    <xf numFmtId="0" fontId="9" fillId="5" borderId="0" xfId="0" applyFont="1" applyFill="1" applyBorder="1" applyAlignment="1">
      <alignment horizontal="center" wrapText="1"/>
    </xf>
    <xf numFmtId="0" fontId="9" fillId="2" borderId="3" xfId="0" applyFont="1" applyFill="1" applyBorder="1" applyAlignment="1">
      <alignment wrapText="1"/>
    </xf>
    <xf numFmtId="9" fontId="9" fillId="2" borderId="3" xfId="2" applyFont="1" applyFill="1" applyBorder="1" applyAlignment="1">
      <alignment horizontal="center" wrapText="1"/>
    </xf>
    <xf numFmtId="164" fontId="9" fillId="3" borderId="3" xfId="0" applyNumberFormat="1" applyFont="1" applyFill="1" applyBorder="1" applyAlignment="1">
      <alignment wrapText="1"/>
    </xf>
    <xf numFmtId="0" fontId="9" fillId="2" borderId="3" xfId="0" applyFont="1" applyFill="1" applyBorder="1" applyAlignment="1">
      <alignment horizontal="center" wrapText="1"/>
    </xf>
    <xf numFmtId="0" fontId="9" fillId="5" borderId="3" xfId="0" applyFont="1" applyFill="1" applyBorder="1" applyAlignment="1">
      <alignment horizontal="center" wrapText="1"/>
    </xf>
    <xf numFmtId="43" fontId="16" fillId="3" borderId="0" xfId="1" applyFont="1" applyFill="1" applyAlignment="1">
      <alignment horizontal="left"/>
    </xf>
    <xf numFmtId="43" fontId="16" fillId="3" borderId="0" xfId="1" applyFont="1" applyFill="1" applyBorder="1"/>
    <xf numFmtId="43" fontId="9" fillId="3" borderId="0" xfId="1" applyFont="1" applyFill="1" applyAlignment="1">
      <alignment horizontal="left"/>
    </xf>
    <xf numFmtId="43" fontId="9" fillId="3" borderId="3" xfId="1" applyFont="1" applyFill="1" applyBorder="1" applyAlignment="1">
      <alignment horizontal="left"/>
    </xf>
    <xf numFmtId="43" fontId="9" fillId="3" borderId="12" xfId="0" applyNumberFormat="1" applyFont="1" applyFill="1" applyBorder="1"/>
    <xf numFmtId="0" fontId="47" fillId="4" borderId="2" xfId="0" applyFont="1" applyFill="1" applyBorder="1" applyAlignment="1">
      <alignment horizontal="right"/>
    </xf>
    <xf numFmtId="43" fontId="16" fillId="3" borderId="0" xfId="1" applyNumberFormat="1" applyFont="1" applyFill="1"/>
    <xf numFmtId="0" fontId="9" fillId="4" borderId="0" xfId="0" applyNumberFormat="1" applyFont="1" applyFill="1" applyBorder="1"/>
    <xf numFmtId="43" fontId="16" fillId="3" borderId="3" xfId="1" applyNumberFormat="1" applyFont="1" applyFill="1" applyBorder="1"/>
    <xf numFmtId="0" fontId="15" fillId="4" borderId="0" xfId="0" applyFont="1" applyFill="1" applyAlignment="1">
      <alignment horizontal="right"/>
    </xf>
    <xf numFmtId="43" fontId="15" fillId="3" borderId="2" xfId="1" applyFont="1" applyFill="1" applyBorder="1"/>
    <xf numFmtId="43" fontId="15" fillId="4" borderId="0" xfId="0" applyNumberFormat="1" applyFont="1" applyFill="1"/>
    <xf numFmtId="0" fontId="27" fillId="4" borderId="0" xfId="0" applyFont="1" applyFill="1" applyAlignment="1">
      <alignment horizontal="right"/>
    </xf>
    <xf numFmtId="9" fontId="9" fillId="4" borderId="0" xfId="2" applyFont="1" applyFill="1"/>
    <xf numFmtId="9" fontId="9" fillId="4" borderId="0" xfId="2" applyFont="1" applyFill="1" applyBorder="1"/>
    <xf numFmtId="9" fontId="9" fillId="4" borderId="3" xfId="2" applyFont="1" applyFill="1" applyBorder="1"/>
    <xf numFmtId="15" fontId="13" fillId="4" borderId="0" xfId="0" applyNumberFormat="1" applyFont="1" applyFill="1"/>
    <xf numFmtId="0" fontId="15" fillId="4" borderId="3" xfId="0" applyFont="1" applyFill="1" applyBorder="1" applyAlignment="1">
      <alignment wrapText="1"/>
    </xf>
    <xf numFmtId="0" fontId="9" fillId="0" borderId="3" xfId="0" applyFont="1" applyBorder="1" applyAlignment="1"/>
    <xf numFmtId="0" fontId="9" fillId="4" borderId="0" xfId="0" applyFont="1" applyFill="1" applyAlignment="1">
      <alignment wrapText="1"/>
    </xf>
    <xf numFmtId="0" fontId="9" fillId="0" borderId="0" xfId="0" applyFont="1" applyAlignment="1"/>
    <xf numFmtId="0" fontId="17" fillId="4" borderId="0" xfId="0" applyFont="1" applyFill="1" applyAlignment="1">
      <alignment wrapText="1"/>
    </xf>
    <xf numFmtId="0" fontId="17" fillId="0" borderId="0" xfId="0" applyFont="1" applyAlignment="1"/>
    <xf numFmtId="0" fontId="19" fillId="4" borderId="0" xfId="0" applyFont="1" applyFill="1" applyAlignment="1">
      <alignment wrapText="1"/>
    </xf>
    <xf numFmtId="0" fontId="20" fillId="4" borderId="0" xfId="0" applyFont="1" applyFill="1" applyAlignment="1">
      <alignment wrapText="1"/>
    </xf>
    <xf numFmtId="0" fontId="20" fillId="0" borderId="0" xfId="0" applyFont="1" applyAlignment="1"/>
    <xf numFmtId="0" fontId="0" fillId="4" borderId="0" xfId="0" applyFill="1" applyBorder="1" applyAlignment="1">
      <alignment wrapText="1"/>
    </xf>
    <xf numFmtId="0" fontId="0" fillId="4" borderId="0" xfId="0" applyFill="1" applyBorder="1" applyAlignment="1">
      <alignment horizontal="center" wrapText="1"/>
    </xf>
    <xf numFmtId="0" fontId="3" fillId="4" borderId="0" xfId="0" applyFont="1" applyFill="1" applyAlignment="1">
      <alignment wrapText="1"/>
    </xf>
    <xf numFmtId="0" fontId="0" fillId="0" borderId="0" xfId="0" applyAlignment="1">
      <alignment wrapText="1"/>
    </xf>
    <xf numFmtId="0" fontId="0" fillId="4" borderId="3" xfId="0" applyFill="1" applyBorder="1" applyAlignment="1">
      <alignment wrapText="1"/>
    </xf>
    <xf numFmtId="0" fontId="0" fillId="4" borderId="3" xfId="0" applyFill="1" applyBorder="1" applyAlignment="1">
      <alignment horizontal="center" wrapText="1"/>
    </xf>
    <xf numFmtId="0" fontId="14" fillId="4" borderId="0" xfId="0" applyFont="1" applyFill="1" applyAlignment="1">
      <alignment wrapText="1"/>
    </xf>
    <xf numFmtId="0" fontId="9" fillId="0" borderId="0" xfId="0" applyFont="1" applyAlignment="1">
      <alignment wrapText="1"/>
    </xf>
    <xf numFmtId="0" fontId="15" fillId="0" borderId="0" xfId="0" applyFont="1" applyAlignment="1">
      <alignment vertical="top" wrapText="1"/>
    </xf>
  </cellXfs>
  <cellStyles count="3">
    <cellStyle name="Comma" xfId="1" builtinId="3"/>
    <cellStyle name="Normal" xfId="0" builtinId="0"/>
    <cellStyle name="Percent" xfId="2" builtinId="5"/>
  </cellStyles>
  <dxfs count="3">
    <dxf>
      <font>
        <color theme="0" tint="-0.24994659260841701"/>
      </font>
    </dxf>
    <dxf>
      <font>
        <color theme="0"/>
      </font>
    </dxf>
    <dxf>
      <font>
        <color theme="0" tint="-0.24994659260841701"/>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914400</xdr:colOff>
      <xdr:row>7</xdr:row>
      <xdr:rowOff>0</xdr:rowOff>
    </xdr:from>
    <xdr:to>
      <xdr:col>1</xdr:col>
      <xdr:colOff>1400175</xdr:colOff>
      <xdr:row>9</xdr:row>
      <xdr:rowOff>104775</xdr:rowOff>
    </xdr:to>
    <xdr:pic>
      <xdr:nvPicPr>
        <xdr:cNvPr id="2" name="Picture 1" descr="transport.png"/>
        <xdr:cNvPicPr>
          <a:picLocks noChangeAspect="1"/>
        </xdr:cNvPicPr>
      </xdr:nvPicPr>
      <xdr:blipFill>
        <a:blip xmlns:r="http://schemas.openxmlformats.org/officeDocument/2006/relationships" r:embed="rId1" cstate="print"/>
        <a:stretch>
          <a:fillRect/>
        </a:stretch>
      </xdr:blipFill>
      <xdr:spPr>
        <a:xfrm>
          <a:off x="1133475" y="1971675"/>
          <a:ext cx="485775" cy="485775"/>
        </a:xfrm>
        <a:prstGeom prst="rect">
          <a:avLst/>
        </a:prstGeom>
      </xdr:spPr>
    </xdr:pic>
    <xdr:clientData/>
  </xdr:twoCellAnchor>
  <xdr:twoCellAnchor editAs="oneCell">
    <xdr:from>
      <xdr:col>1</xdr:col>
      <xdr:colOff>1419225</xdr:colOff>
      <xdr:row>7</xdr:row>
      <xdr:rowOff>9525</xdr:rowOff>
    </xdr:from>
    <xdr:to>
      <xdr:col>1</xdr:col>
      <xdr:colOff>1905000</xdr:colOff>
      <xdr:row>9</xdr:row>
      <xdr:rowOff>114300</xdr:rowOff>
    </xdr:to>
    <xdr:pic>
      <xdr:nvPicPr>
        <xdr:cNvPr id="3" name="Picture 2" descr="waste.png"/>
        <xdr:cNvPicPr>
          <a:picLocks noChangeAspect="1"/>
        </xdr:cNvPicPr>
      </xdr:nvPicPr>
      <xdr:blipFill>
        <a:blip xmlns:r="http://schemas.openxmlformats.org/officeDocument/2006/relationships" r:embed="rId2" cstate="print"/>
        <a:stretch>
          <a:fillRect/>
        </a:stretch>
      </xdr:blipFill>
      <xdr:spPr>
        <a:xfrm>
          <a:off x="1638300" y="1981200"/>
          <a:ext cx="485775" cy="485775"/>
        </a:xfrm>
        <a:prstGeom prst="rect">
          <a:avLst/>
        </a:prstGeom>
      </xdr:spPr>
    </xdr:pic>
    <xdr:clientData/>
  </xdr:twoCellAnchor>
  <xdr:twoCellAnchor editAs="oneCell">
    <xdr:from>
      <xdr:col>1</xdr:col>
      <xdr:colOff>1905000</xdr:colOff>
      <xdr:row>7</xdr:row>
      <xdr:rowOff>0</xdr:rowOff>
    </xdr:from>
    <xdr:to>
      <xdr:col>1</xdr:col>
      <xdr:colOff>2390775</xdr:colOff>
      <xdr:row>9</xdr:row>
      <xdr:rowOff>104775</xdr:rowOff>
    </xdr:to>
    <xdr:pic>
      <xdr:nvPicPr>
        <xdr:cNvPr id="4" name="Picture 3" descr="water.png"/>
        <xdr:cNvPicPr>
          <a:picLocks noChangeAspect="1"/>
        </xdr:cNvPicPr>
      </xdr:nvPicPr>
      <xdr:blipFill>
        <a:blip xmlns:r="http://schemas.openxmlformats.org/officeDocument/2006/relationships" r:embed="rId3" cstate="print"/>
        <a:stretch>
          <a:fillRect/>
        </a:stretch>
      </xdr:blipFill>
      <xdr:spPr>
        <a:xfrm>
          <a:off x="2124075" y="1971675"/>
          <a:ext cx="485775" cy="485775"/>
        </a:xfrm>
        <a:prstGeom prst="rect">
          <a:avLst/>
        </a:prstGeom>
      </xdr:spPr>
    </xdr:pic>
    <xdr:clientData/>
  </xdr:twoCellAnchor>
  <xdr:twoCellAnchor editAs="oneCell">
    <xdr:from>
      <xdr:col>1</xdr:col>
      <xdr:colOff>438150</xdr:colOff>
      <xdr:row>7</xdr:row>
      <xdr:rowOff>0</xdr:rowOff>
    </xdr:from>
    <xdr:to>
      <xdr:col>1</xdr:col>
      <xdr:colOff>923925</xdr:colOff>
      <xdr:row>9</xdr:row>
      <xdr:rowOff>104775</xdr:rowOff>
    </xdr:to>
    <xdr:pic>
      <xdr:nvPicPr>
        <xdr:cNvPr id="5" name="Picture 4" descr="buildings.png"/>
        <xdr:cNvPicPr>
          <a:picLocks noChangeAspect="1"/>
        </xdr:cNvPicPr>
      </xdr:nvPicPr>
      <xdr:blipFill>
        <a:blip xmlns:r="http://schemas.openxmlformats.org/officeDocument/2006/relationships" r:embed="rId4" cstate="print"/>
        <a:stretch>
          <a:fillRect/>
        </a:stretch>
      </xdr:blipFill>
      <xdr:spPr>
        <a:xfrm>
          <a:off x="657225" y="1971675"/>
          <a:ext cx="485775" cy="485775"/>
        </a:xfrm>
        <a:prstGeom prst="rect">
          <a:avLst/>
        </a:prstGeom>
      </xdr:spPr>
    </xdr:pic>
    <xdr:clientData/>
  </xdr:twoCellAnchor>
  <xdr:twoCellAnchor>
    <xdr:from>
      <xdr:col>1</xdr:col>
      <xdr:colOff>942975</xdr:colOff>
      <xdr:row>18</xdr:row>
      <xdr:rowOff>66675</xdr:rowOff>
    </xdr:from>
    <xdr:to>
      <xdr:col>3</xdr:col>
      <xdr:colOff>9525</xdr:colOff>
      <xdr:row>24</xdr:row>
      <xdr:rowOff>123825</xdr:rowOff>
    </xdr:to>
    <xdr:sp macro="" textlink="">
      <xdr:nvSpPr>
        <xdr:cNvPr id="10" name="Freeform 9"/>
        <xdr:cNvSpPr/>
      </xdr:nvSpPr>
      <xdr:spPr>
        <a:xfrm>
          <a:off x="1162050" y="5000625"/>
          <a:ext cx="4714875" cy="1200150"/>
        </a:xfrm>
        <a:custGeom>
          <a:avLst/>
          <a:gdLst>
            <a:gd name="connsiteX0" fmla="*/ 0 w 4714875"/>
            <a:gd name="connsiteY0" fmla="*/ 1181100 h 1200150"/>
            <a:gd name="connsiteX1" fmla="*/ 0 w 4714875"/>
            <a:gd name="connsiteY1" fmla="*/ 1181100 h 1200150"/>
            <a:gd name="connsiteX2" fmla="*/ 1504950 w 4714875"/>
            <a:gd name="connsiteY2" fmla="*/ 1200150 h 1200150"/>
            <a:gd name="connsiteX3" fmla="*/ 4714875 w 4714875"/>
            <a:gd name="connsiteY3" fmla="*/ 0 h 1200150"/>
          </a:gdLst>
          <a:ahLst/>
          <a:cxnLst>
            <a:cxn ang="0">
              <a:pos x="connsiteX0" y="connsiteY0"/>
            </a:cxn>
            <a:cxn ang="0">
              <a:pos x="connsiteX1" y="connsiteY1"/>
            </a:cxn>
            <a:cxn ang="0">
              <a:pos x="connsiteX2" y="connsiteY2"/>
            </a:cxn>
            <a:cxn ang="0">
              <a:pos x="connsiteX3" y="connsiteY3"/>
            </a:cxn>
          </a:cxnLst>
          <a:rect l="l" t="t" r="r" b="b"/>
          <a:pathLst>
            <a:path w="4714875" h="1200150">
              <a:moveTo>
                <a:pt x="0" y="1181100"/>
              </a:moveTo>
              <a:lnTo>
                <a:pt x="0" y="1181100"/>
              </a:lnTo>
              <a:lnTo>
                <a:pt x="1504950" y="1200150"/>
              </a:lnTo>
              <a:lnTo>
                <a:pt x="4714875" y="0"/>
              </a:lnTo>
            </a:path>
          </a:pathLst>
        </a:cu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1</xdr:col>
      <xdr:colOff>1176130</xdr:colOff>
      <xdr:row>23</xdr:row>
      <xdr:rowOff>24848</xdr:rowOff>
    </xdr:from>
    <xdr:to>
      <xdr:col>3</xdr:col>
      <xdr:colOff>0</xdr:colOff>
      <xdr:row>26</xdr:row>
      <xdr:rowOff>115956</xdr:rowOff>
    </xdr:to>
    <xdr:sp macro="" textlink="">
      <xdr:nvSpPr>
        <xdr:cNvPr id="11" name="Freeform 10"/>
        <xdr:cNvSpPr/>
      </xdr:nvSpPr>
      <xdr:spPr>
        <a:xfrm>
          <a:off x="1391478" y="5913783"/>
          <a:ext cx="4472609" cy="662608"/>
        </a:xfrm>
        <a:custGeom>
          <a:avLst/>
          <a:gdLst>
            <a:gd name="connsiteX0" fmla="*/ 0 w 4472609"/>
            <a:gd name="connsiteY0" fmla="*/ 662608 h 662608"/>
            <a:gd name="connsiteX1" fmla="*/ 1267239 w 4472609"/>
            <a:gd name="connsiteY1" fmla="*/ 662608 h 662608"/>
            <a:gd name="connsiteX2" fmla="*/ 4472609 w 4472609"/>
            <a:gd name="connsiteY2" fmla="*/ 0 h 662608"/>
          </a:gdLst>
          <a:ahLst/>
          <a:cxnLst>
            <a:cxn ang="0">
              <a:pos x="connsiteX0" y="connsiteY0"/>
            </a:cxn>
            <a:cxn ang="0">
              <a:pos x="connsiteX1" y="connsiteY1"/>
            </a:cxn>
            <a:cxn ang="0">
              <a:pos x="connsiteX2" y="connsiteY2"/>
            </a:cxn>
          </a:cxnLst>
          <a:rect l="l" t="t" r="r" b="b"/>
          <a:pathLst>
            <a:path w="4472609" h="662608">
              <a:moveTo>
                <a:pt x="0" y="662608"/>
              </a:moveTo>
              <a:lnTo>
                <a:pt x="1267239" y="662608"/>
              </a:lnTo>
              <a:lnTo>
                <a:pt x="4472609" y="0"/>
              </a:lnTo>
            </a:path>
          </a:pathLst>
        </a:cu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1</xdr:col>
      <xdr:colOff>861391</xdr:colOff>
      <xdr:row>26</xdr:row>
      <xdr:rowOff>173935</xdr:rowOff>
    </xdr:from>
    <xdr:to>
      <xdr:col>3</xdr:col>
      <xdr:colOff>0</xdr:colOff>
      <xdr:row>28</xdr:row>
      <xdr:rowOff>115956</xdr:rowOff>
    </xdr:to>
    <xdr:sp macro="" textlink="">
      <xdr:nvSpPr>
        <xdr:cNvPr id="12" name="Freeform 11"/>
        <xdr:cNvSpPr/>
      </xdr:nvSpPr>
      <xdr:spPr>
        <a:xfrm>
          <a:off x="1076739" y="6634370"/>
          <a:ext cx="4787348" cy="323021"/>
        </a:xfrm>
        <a:custGeom>
          <a:avLst/>
          <a:gdLst>
            <a:gd name="connsiteX0" fmla="*/ 0 w 4787348"/>
            <a:gd name="connsiteY0" fmla="*/ 323021 h 323021"/>
            <a:gd name="connsiteX1" fmla="*/ 1573696 w 4787348"/>
            <a:gd name="connsiteY1" fmla="*/ 323021 h 323021"/>
            <a:gd name="connsiteX2" fmla="*/ 4787348 w 4787348"/>
            <a:gd name="connsiteY2" fmla="*/ 0 h 323021"/>
          </a:gdLst>
          <a:ahLst/>
          <a:cxnLst>
            <a:cxn ang="0">
              <a:pos x="connsiteX0" y="connsiteY0"/>
            </a:cxn>
            <a:cxn ang="0">
              <a:pos x="connsiteX1" y="connsiteY1"/>
            </a:cxn>
            <a:cxn ang="0">
              <a:pos x="connsiteX2" y="connsiteY2"/>
            </a:cxn>
          </a:cxnLst>
          <a:rect l="l" t="t" r="r" b="b"/>
          <a:pathLst>
            <a:path w="4787348" h="323021">
              <a:moveTo>
                <a:pt x="0" y="323021"/>
              </a:moveTo>
              <a:lnTo>
                <a:pt x="1573696" y="323021"/>
              </a:lnTo>
              <a:lnTo>
                <a:pt x="4787348" y="0"/>
              </a:lnTo>
            </a:path>
          </a:pathLst>
        </a:cu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1</xdr:col>
      <xdr:colOff>1648239</xdr:colOff>
      <xdr:row>30</xdr:row>
      <xdr:rowOff>57978</xdr:rowOff>
    </xdr:from>
    <xdr:to>
      <xdr:col>2</xdr:col>
      <xdr:colOff>604630</xdr:colOff>
      <xdr:row>30</xdr:row>
      <xdr:rowOff>99391</xdr:rowOff>
    </xdr:to>
    <xdr:sp macro="" textlink="">
      <xdr:nvSpPr>
        <xdr:cNvPr id="13" name="Freeform 12"/>
        <xdr:cNvSpPr/>
      </xdr:nvSpPr>
      <xdr:spPr>
        <a:xfrm>
          <a:off x="1863587" y="7280413"/>
          <a:ext cx="3992217" cy="41413"/>
        </a:xfrm>
        <a:custGeom>
          <a:avLst/>
          <a:gdLst>
            <a:gd name="connsiteX0" fmla="*/ 0 w 3992217"/>
            <a:gd name="connsiteY0" fmla="*/ 41413 h 41413"/>
            <a:gd name="connsiteX1" fmla="*/ 770283 w 3992217"/>
            <a:gd name="connsiteY1" fmla="*/ 41413 h 41413"/>
            <a:gd name="connsiteX2" fmla="*/ 3992217 w 3992217"/>
            <a:gd name="connsiteY2" fmla="*/ 0 h 41413"/>
          </a:gdLst>
          <a:ahLst/>
          <a:cxnLst>
            <a:cxn ang="0">
              <a:pos x="connsiteX0" y="connsiteY0"/>
            </a:cxn>
            <a:cxn ang="0">
              <a:pos x="connsiteX1" y="connsiteY1"/>
            </a:cxn>
            <a:cxn ang="0">
              <a:pos x="connsiteX2" y="connsiteY2"/>
            </a:cxn>
          </a:cxnLst>
          <a:rect l="l" t="t" r="r" b="b"/>
          <a:pathLst>
            <a:path w="3992217" h="41413">
              <a:moveTo>
                <a:pt x="0" y="41413"/>
              </a:moveTo>
              <a:lnTo>
                <a:pt x="770283" y="41413"/>
              </a:lnTo>
              <a:lnTo>
                <a:pt x="3992217" y="0"/>
              </a:lnTo>
            </a:path>
          </a:pathLst>
        </a:cu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57150</xdr:colOff>
      <xdr:row>2</xdr:row>
      <xdr:rowOff>85725</xdr:rowOff>
    </xdr:to>
    <xdr:pic>
      <xdr:nvPicPr>
        <xdr:cNvPr id="2" name="Picture 1" descr="waste.png"/>
        <xdr:cNvPicPr>
          <a:picLocks noChangeAspect="1"/>
        </xdr:cNvPicPr>
      </xdr:nvPicPr>
      <xdr:blipFill>
        <a:blip xmlns:r="http://schemas.openxmlformats.org/officeDocument/2006/relationships" r:embed="rId1" cstate="print"/>
        <a:stretch>
          <a:fillRect/>
        </a:stretch>
      </xdr:blipFill>
      <xdr:spPr>
        <a:xfrm>
          <a:off x="0" y="57150"/>
          <a:ext cx="485775" cy="4857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2</xdr:col>
      <xdr:colOff>66675</xdr:colOff>
      <xdr:row>2</xdr:row>
      <xdr:rowOff>95250</xdr:rowOff>
    </xdr:to>
    <xdr:pic>
      <xdr:nvPicPr>
        <xdr:cNvPr id="2" name="Picture 1" descr="waste.png"/>
        <xdr:cNvPicPr>
          <a:picLocks noChangeAspect="1"/>
        </xdr:cNvPicPr>
      </xdr:nvPicPr>
      <xdr:blipFill>
        <a:blip xmlns:r="http://schemas.openxmlformats.org/officeDocument/2006/relationships" r:embed="rId1" cstate="print"/>
        <a:stretch>
          <a:fillRect/>
        </a:stretch>
      </xdr:blipFill>
      <xdr:spPr>
        <a:xfrm>
          <a:off x="0" y="95250"/>
          <a:ext cx="485775" cy="485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914400</xdr:colOff>
      <xdr:row>3</xdr:row>
      <xdr:rowOff>0</xdr:rowOff>
    </xdr:from>
    <xdr:to>
      <xdr:col>1</xdr:col>
      <xdr:colOff>1400175</xdr:colOff>
      <xdr:row>5</xdr:row>
      <xdr:rowOff>104775</xdr:rowOff>
    </xdr:to>
    <xdr:pic>
      <xdr:nvPicPr>
        <xdr:cNvPr id="2" name="Picture 1" descr="transport.png"/>
        <xdr:cNvPicPr>
          <a:picLocks noChangeAspect="1"/>
        </xdr:cNvPicPr>
      </xdr:nvPicPr>
      <xdr:blipFill>
        <a:blip xmlns:r="http://schemas.openxmlformats.org/officeDocument/2006/relationships" r:embed="rId1" cstate="print"/>
        <a:stretch>
          <a:fillRect/>
        </a:stretch>
      </xdr:blipFill>
      <xdr:spPr>
        <a:xfrm>
          <a:off x="1133475" y="733425"/>
          <a:ext cx="485775" cy="485775"/>
        </a:xfrm>
        <a:prstGeom prst="rect">
          <a:avLst/>
        </a:prstGeom>
      </xdr:spPr>
    </xdr:pic>
    <xdr:clientData/>
  </xdr:twoCellAnchor>
  <xdr:twoCellAnchor editAs="oneCell">
    <xdr:from>
      <xdr:col>1</xdr:col>
      <xdr:colOff>1419225</xdr:colOff>
      <xdr:row>3</xdr:row>
      <xdr:rowOff>9525</xdr:rowOff>
    </xdr:from>
    <xdr:to>
      <xdr:col>1</xdr:col>
      <xdr:colOff>1905000</xdr:colOff>
      <xdr:row>5</xdr:row>
      <xdr:rowOff>114300</xdr:rowOff>
    </xdr:to>
    <xdr:pic>
      <xdr:nvPicPr>
        <xdr:cNvPr id="3" name="Picture 2" descr="waste.png"/>
        <xdr:cNvPicPr>
          <a:picLocks noChangeAspect="1"/>
        </xdr:cNvPicPr>
      </xdr:nvPicPr>
      <xdr:blipFill>
        <a:blip xmlns:r="http://schemas.openxmlformats.org/officeDocument/2006/relationships" r:embed="rId2" cstate="print"/>
        <a:stretch>
          <a:fillRect/>
        </a:stretch>
      </xdr:blipFill>
      <xdr:spPr>
        <a:xfrm>
          <a:off x="1638300" y="742950"/>
          <a:ext cx="485775" cy="485775"/>
        </a:xfrm>
        <a:prstGeom prst="rect">
          <a:avLst/>
        </a:prstGeom>
      </xdr:spPr>
    </xdr:pic>
    <xdr:clientData/>
  </xdr:twoCellAnchor>
  <xdr:twoCellAnchor editAs="oneCell">
    <xdr:from>
      <xdr:col>1</xdr:col>
      <xdr:colOff>1905000</xdr:colOff>
      <xdr:row>3</xdr:row>
      <xdr:rowOff>0</xdr:rowOff>
    </xdr:from>
    <xdr:to>
      <xdr:col>1</xdr:col>
      <xdr:colOff>2390775</xdr:colOff>
      <xdr:row>5</xdr:row>
      <xdr:rowOff>104775</xdr:rowOff>
    </xdr:to>
    <xdr:pic>
      <xdr:nvPicPr>
        <xdr:cNvPr id="4" name="Picture 3" descr="water.png"/>
        <xdr:cNvPicPr>
          <a:picLocks noChangeAspect="1"/>
        </xdr:cNvPicPr>
      </xdr:nvPicPr>
      <xdr:blipFill>
        <a:blip xmlns:r="http://schemas.openxmlformats.org/officeDocument/2006/relationships" r:embed="rId3" cstate="print"/>
        <a:stretch>
          <a:fillRect/>
        </a:stretch>
      </xdr:blipFill>
      <xdr:spPr>
        <a:xfrm>
          <a:off x="2124075" y="733425"/>
          <a:ext cx="485775" cy="485775"/>
        </a:xfrm>
        <a:prstGeom prst="rect">
          <a:avLst/>
        </a:prstGeom>
      </xdr:spPr>
    </xdr:pic>
    <xdr:clientData/>
  </xdr:twoCellAnchor>
  <xdr:twoCellAnchor editAs="oneCell">
    <xdr:from>
      <xdr:col>1</xdr:col>
      <xdr:colOff>438150</xdr:colOff>
      <xdr:row>3</xdr:row>
      <xdr:rowOff>0</xdr:rowOff>
    </xdr:from>
    <xdr:to>
      <xdr:col>1</xdr:col>
      <xdr:colOff>923925</xdr:colOff>
      <xdr:row>5</xdr:row>
      <xdr:rowOff>104775</xdr:rowOff>
    </xdr:to>
    <xdr:pic>
      <xdr:nvPicPr>
        <xdr:cNvPr id="5" name="Picture 4" descr="buildings.png"/>
        <xdr:cNvPicPr>
          <a:picLocks noChangeAspect="1"/>
        </xdr:cNvPicPr>
      </xdr:nvPicPr>
      <xdr:blipFill>
        <a:blip xmlns:r="http://schemas.openxmlformats.org/officeDocument/2006/relationships" r:embed="rId4" cstate="print"/>
        <a:stretch>
          <a:fillRect/>
        </a:stretch>
      </xdr:blipFill>
      <xdr:spPr>
        <a:xfrm>
          <a:off x="657225" y="733425"/>
          <a:ext cx="485775" cy="485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95251</xdr:colOff>
      <xdr:row>31</xdr:row>
      <xdr:rowOff>47622</xdr:rowOff>
    </xdr:from>
    <xdr:to>
      <xdr:col>37</xdr:col>
      <xdr:colOff>483014</xdr:colOff>
      <xdr:row>74</xdr:row>
      <xdr:rowOff>190498</xdr:rowOff>
    </xdr:to>
    <xdr:pic>
      <xdr:nvPicPr>
        <xdr:cNvPr id="13" name="Picture 1"/>
        <xdr:cNvPicPr>
          <a:picLocks noChangeAspect="1" noChangeArrowheads="1"/>
        </xdr:cNvPicPr>
      </xdr:nvPicPr>
      <xdr:blipFill>
        <a:blip xmlns:r="http://schemas.openxmlformats.org/officeDocument/2006/relationships" r:embed="rId1" cstate="print"/>
        <a:srcRect l="12760" t="14048" r="11998" b="5476"/>
        <a:stretch>
          <a:fillRect/>
        </a:stretch>
      </xdr:blipFill>
      <xdr:spPr bwMode="auto">
        <a:xfrm>
          <a:off x="10620376" y="6500810"/>
          <a:ext cx="12794076" cy="8429626"/>
        </a:xfrm>
        <a:prstGeom prst="rect">
          <a:avLst/>
        </a:prstGeom>
        <a:noFill/>
        <a:ln w="1">
          <a:noFill/>
          <a:miter lim="800000"/>
          <a:headEnd/>
          <a:tailEnd type="none" w="med" len="med"/>
        </a:ln>
        <a:effectLst/>
      </xdr:spPr>
    </xdr:pic>
    <xdr:clientData/>
  </xdr:twoCellAnchor>
  <xdr:twoCellAnchor editAs="oneCell">
    <xdr:from>
      <xdr:col>17</xdr:col>
      <xdr:colOff>238126</xdr:colOff>
      <xdr:row>97</xdr:row>
      <xdr:rowOff>95250</xdr:rowOff>
    </xdr:from>
    <xdr:to>
      <xdr:col>38</xdr:col>
      <xdr:colOff>6764</xdr:colOff>
      <xdr:row>141</xdr:row>
      <xdr:rowOff>95251</xdr:rowOff>
    </xdr:to>
    <xdr:pic>
      <xdr:nvPicPr>
        <xdr:cNvPr id="12" name="Picture 1"/>
        <xdr:cNvPicPr>
          <a:picLocks noChangeAspect="1" noChangeArrowheads="1"/>
        </xdr:cNvPicPr>
      </xdr:nvPicPr>
      <xdr:blipFill>
        <a:blip xmlns:r="http://schemas.openxmlformats.org/officeDocument/2006/relationships" r:embed="rId1" cstate="print"/>
        <a:srcRect l="12760" t="14048" r="11998" b="5476"/>
        <a:stretch>
          <a:fillRect/>
        </a:stretch>
      </xdr:blipFill>
      <xdr:spPr bwMode="auto">
        <a:xfrm>
          <a:off x="10763251" y="19216688"/>
          <a:ext cx="12794076" cy="8429626"/>
        </a:xfrm>
        <a:prstGeom prst="rect">
          <a:avLst/>
        </a:prstGeom>
        <a:noFill/>
        <a:ln w="1">
          <a:noFill/>
          <a:miter lim="800000"/>
          <a:headEnd/>
          <a:tailEnd type="none" w="med" len="med"/>
        </a:ln>
        <a:effectLst/>
      </xdr:spPr>
    </xdr:pic>
    <xdr:clientData/>
  </xdr:twoCellAnchor>
  <xdr:twoCellAnchor editAs="oneCell">
    <xdr:from>
      <xdr:col>17</xdr:col>
      <xdr:colOff>333375</xdr:colOff>
      <xdr:row>147</xdr:row>
      <xdr:rowOff>23813</xdr:rowOff>
    </xdr:from>
    <xdr:to>
      <xdr:col>38</xdr:col>
      <xdr:colOff>102013</xdr:colOff>
      <xdr:row>191</xdr:row>
      <xdr:rowOff>23814</xdr:rowOff>
    </xdr:to>
    <xdr:pic>
      <xdr:nvPicPr>
        <xdr:cNvPr id="11" name="Picture 1"/>
        <xdr:cNvPicPr>
          <a:picLocks noChangeAspect="1" noChangeArrowheads="1"/>
        </xdr:cNvPicPr>
      </xdr:nvPicPr>
      <xdr:blipFill>
        <a:blip xmlns:r="http://schemas.openxmlformats.org/officeDocument/2006/relationships" r:embed="rId1" cstate="print"/>
        <a:srcRect l="12760" t="14048" r="11998" b="5476"/>
        <a:stretch>
          <a:fillRect/>
        </a:stretch>
      </xdr:blipFill>
      <xdr:spPr bwMode="auto">
        <a:xfrm>
          <a:off x="10858500" y="28717876"/>
          <a:ext cx="12794076" cy="8429626"/>
        </a:xfrm>
        <a:prstGeom prst="rect">
          <a:avLst/>
        </a:prstGeom>
        <a:noFill/>
        <a:ln w="1">
          <a:noFill/>
          <a:miter lim="800000"/>
          <a:headEnd/>
          <a:tailEnd type="none" w="med" len="med"/>
        </a:ln>
        <a:effectLst/>
      </xdr:spPr>
    </xdr:pic>
    <xdr:clientData/>
  </xdr:twoCellAnchor>
  <xdr:twoCellAnchor editAs="oneCell">
    <xdr:from>
      <xdr:col>17</xdr:col>
      <xdr:colOff>142871</xdr:colOff>
      <xdr:row>201</xdr:row>
      <xdr:rowOff>47625</xdr:rowOff>
    </xdr:from>
    <xdr:to>
      <xdr:col>37</xdr:col>
      <xdr:colOff>530634</xdr:colOff>
      <xdr:row>245</xdr:row>
      <xdr:rowOff>47626</xdr:rowOff>
    </xdr:to>
    <xdr:pic>
      <xdr:nvPicPr>
        <xdr:cNvPr id="4097" name="Picture 1"/>
        <xdr:cNvPicPr>
          <a:picLocks noChangeAspect="1" noChangeArrowheads="1"/>
        </xdr:cNvPicPr>
      </xdr:nvPicPr>
      <xdr:blipFill>
        <a:blip xmlns:r="http://schemas.openxmlformats.org/officeDocument/2006/relationships" r:embed="rId1" cstate="print"/>
        <a:srcRect l="12760" t="14048" r="11998" b="5476"/>
        <a:stretch>
          <a:fillRect/>
        </a:stretch>
      </xdr:blipFill>
      <xdr:spPr bwMode="auto">
        <a:xfrm>
          <a:off x="10667996" y="39076313"/>
          <a:ext cx="12794076" cy="8429626"/>
        </a:xfrm>
        <a:prstGeom prst="rect">
          <a:avLst/>
        </a:prstGeom>
        <a:noFill/>
        <a:ln w="1">
          <a:noFill/>
          <a:miter lim="800000"/>
          <a:headEnd/>
          <a:tailEnd type="none" w="med" len="med"/>
        </a:ln>
        <a:effectLst/>
      </xdr:spPr>
    </xdr:pic>
    <xdr:clientData/>
  </xdr:twoCellAnchor>
  <xdr:twoCellAnchor>
    <xdr:from>
      <xdr:col>33</xdr:col>
      <xdr:colOff>547687</xdr:colOff>
      <xdr:row>30</xdr:row>
      <xdr:rowOff>17009</xdr:rowOff>
    </xdr:from>
    <xdr:to>
      <xdr:col>37</xdr:col>
      <xdr:colOff>398008</xdr:colOff>
      <xdr:row>75</xdr:row>
      <xdr:rowOff>180295</xdr:rowOff>
    </xdr:to>
    <xdr:sp macro="" textlink="">
      <xdr:nvSpPr>
        <xdr:cNvPr id="3" name="Rectangle 2"/>
        <xdr:cNvSpPr/>
      </xdr:nvSpPr>
      <xdr:spPr>
        <a:xfrm>
          <a:off x="20702587" y="5884409"/>
          <a:ext cx="2288721" cy="8831036"/>
        </a:xfrm>
        <a:prstGeom prst="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17</xdr:col>
      <xdr:colOff>337705</xdr:colOff>
      <xdr:row>146</xdr:row>
      <xdr:rowOff>174419</xdr:rowOff>
    </xdr:from>
    <xdr:to>
      <xdr:col>28</xdr:col>
      <xdr:colOff>309562</xdr:colOff>
      <xdr:row>171</xdr:row>
      <xdr:rowOff>180773</xdr:rowOff>
    </xdr:to>
    <xdr:sp macro="" textlink="">
      <xdr:nvSpPr>
        <xdr:cNvPr id="5" name="Freeform 4"/>
        <xdr:cNvSpPr/>
      </xdr:nvSpPr>
      <xdr:spPr>
        <a:xfrm>
          <a:off x="10862830" y="28677982"/>
          <a:ext cx="6806045" cy="4816479"/>
        </a:xfrm>
        <a:custGeom>
          <a:avLst/>
          <a:gdLst>
            <a:gd name="connsiteX0" fmla="*/ 0 w 7361464"/>
            <a:gd name="connsiteY0" fmla="*/ 0 h 4272643"/>
            <a:gd name="connsiteX1" fmla="*/ 7361464 w 7361464"/>
            <a:gd name="connsiteY1" fmla="*/ 0 h 4272643"/>
            <a:gd name="connsiteX2" fmla="*/ 7361464 w 7361464"/>
            <a:gd name="connsiteY2" fmla="*/ 4272643 h 4272643"/>
            <a:gd name="connsiteX3" fmla="*/ 0 w 7361464"/>
            <a:gd name="connsiteY3" fmla="*/ 4272643 h 4272643"/>
            <a:gd name="connsiteX4" fmla="*/ 0 w 7361464"/>
            <a:gd name="connsiteY4" fmla="*/ 0 h 4272643"/>
            <a:gd name="connsiteX0" fmla="*/ 13607 w 7375071"/>
            <a:gd name="connsiteY0" fmla="*/ 0 h 4803322"/>
            <a:gd name="connsiteX1" fmla="*/ 7375071 w 7375071"/>
            <a:gd name="connsiteY1" fmla="*/ 0 h 4803322"/>
            <a:gd name="connsiteX2" fmla="*/ 7375071 w 7375071"/>
            <a:gd name="connsiteY2" fmla="*/ 4272643 h 4803322"/>
            <a:gd name="connsiteX3" fmla="*/ 0 w 7375071"/>
            <a:gd name="connsiteY3" fmla="*/ 4803322 h 4803322"/>
            <a:gd name="connsiteX4" fmla="*/ 13607 w 7375071"/>
            <a:gd name="connsiteY4" fmla="*/ 0 h 4803322"/>
            <a:gd name="connsiteX0" fmla="*/ 13607 w 7375071"/>
            <a:gd name="connsiteY0" fmla="*/ 0 h 4803322"/>
            <a:gd name="connsiteX1" fmla="*/ 7375071 w 7375071"/>
            <a:gd name="connsiteY1" fmla="*/ 0 h 4803322"/>
            <a:gd name="connsiteX2" fmla="*/ 7375070 w 7375071"/>
            <a:gd name="connsiteY2" fmla="*/ 4749323 h 4803322"/>
            <a:gd name="connsiteX3" fmla="*/ 0 w 7375071"/>
            <a:gd name="connsiteY3" fmla="*/ 4803322 h 4803322"/>
            <a:gd name="connsiteX4" fmla="*/ 13607 w 7375071"/>
            <a:gd name="connsiteY4" fmla="*/ 0 h 4803322"/>
            <a:gd name="connsiteX0" fmla="*/ 13607 w 7375071"/>
            <a:gd name="connsiteY0" fmla="*/ 0 h 4820825"/>
            <a:gd name="connsiteX1" fmla="*/ 7375071 w 7375071"/>
            <a:gd name="connsiteY1" fmla="*/ 0 h 4820825"/>
            <a:gd name="connsiteX2" fmla="*/ 7352177 w 7375071"/>
            <a:gd name="connsiteY2" fmla="*/ 4820825 h 4820825"/>
            <a:gd name="connsiteX3" fmla="*/ 0 w 7375071"/>
            <a:gd name="connsiteY3" fmla="*/ 4803322 h 4820825"/>
            <a:gd name="connsiteX4" fmla="*/ 13607 w 7375071"/>
            <a:gd name="connsiteY4" fmla="*/ 0 h 48208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75071" h="4820825">
              <a:moveTo>
                <a:pt x="13607" y="0"/>
              </a:moveTo>
              <a:lnTo>
                <a:pt x="7375071" y="0"/>
              </a:lnTo>
              <a:cubicBezTo>
                <a:pt x="7375071" y="1583108"/>
                <a:pt x="7352177" y="3237717"/>
                <a:pt x="7352177" y="4820825"/>
              </a:cubicBezTo>
              <a:lnTo>
                <a:pt x="0" y="4803322"/>
              </a:lnTo>
              <a:cubicBezTo>
                <a:pt x="4536" y="3202215"/>
                <a:pt x="9071" y="1601107"/>
                <a:pt x="13607" y="0"/>
              </a:cubicBezTo>
              <a:close/>
            </a:path>
          </a:pathLst>
        </a:cu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27</xdr:col>
      <xdr:colOff>226371</xdr:colOff>
      <xdr:row>111</xdr:row>
      <xdr:rowOff>179366</xdr:rowOff>
    </xdr:from>
    <xdr:to>
      <xdr:col>31</xdr:col>
      <xdr:colOff>117516</xdr:colOff>
      <xdr:row>141</xdr:row>
      <xdr:rowOff>97723</xdr:rowOff>
    </xdr:to>
    <xdr:sp macro="" textlink="">
      <xdr:nvSpPr>
        <xdr:cNvPr id="7" name="Rectangle 6"/>
        <xdr:cNvSpPr/>
      </xdr:nvSpPr>
      <xdr:spPr>
        <a:xfrm>
          <a:off x="16723671" y="21572516"/>
          <a:ext cx="2329545" cy="5680982"/>
        </a:xfrm>
        <a:prstGeom prst="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17</xdr:col>
      <xdr:colOff>102672</xdr:colOff>
      <xdr:row>201</xdr:row>
      <xdr:rowOff>87827</xdr:rowOff>
    </xdr:from>
    <xdr:to>
      <xdr:col>20</xdr:col>
      <xdr:colOff>279564</xdr:colOff>
      <xdr:row>244</xdr:row>
      <xdr:rowOff>158338</xdr:rowOff>
    </xdr:to>
    <xdr:sp macro="" textlink="">
      <xdr:nvSpPr>
        <xdr:cNvPr id="9" name="Rectangle 8"/>
        <xdr:cNvSpPr/>
      </xdr:nvSpPr>
      <xdr:spPr>
        <a:xfrm>
          <a:off x="10465872" y="38721227"/>
          <a:ext cx="2043792" cy="8309636"/>
        </a:xfrm>
        <a:prstGeom prst="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123826</xdr:rowOff>
    </xdr:from>
    <xdr:to>
      <xdr:col>1</xdr:col>
      <xdr:colOff>137272</xdr:colOff>
      <xdr:row>2</xdr:row>
      <xdr:rowOff>114301</xdr:rowOff>
    </xdr:to>
    <xdr:pic>
      <xdr:nvPicPr>
        <xdr:cNvPr id="3" name="Picture 2" descr="buildings.png"/>
        <xdr:cNvPicPr>
          <a:picLocks noChangeAspect="1"/>
        </xdr:cNvPicPr>
      </xdr:nvPicPr>
      <xdr:blipFill>
        <a:blip xmlns:r="http://schemas.openxmlformats.org/officeDocument/2006/relationships" r:embed="rId1" cstate="print"/>
        <a:stretch>
          <a:fillRect/>
        </a:stretch>
      </xdr:blipFill>
      <xdr:spPr>
        <a:xfrm>
          <a:off x="0" y="123826"/>
          <a:ext cx="485775" cy="485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2</xdr:col>
      <xdr:colOff>57150</xdr:colOff>
      <xdr:row>2</xdr:row>
      <xdr:rowOff>95250</xdr:rowOff>
    </xdr:to>
    <xdr:pic>
      <xdr:nvPicPr>
        <xdr:cNvPr id="3" name="Picture 2" descr="buildings.png"/>
        <xdr:cNvPicPr>
          <a:picLocks noChangeAspect="1"/>
        </xdr:cNvPicPr>
      </xdr:nvPicPr>
      <xdr:blipFill>
        <a:blip xmlns:r="http://schemas.openxmlformats.org/officeDocument/2006/relationships" r:embed="rId1" cstate="print"/>
        <a:stretch>
          <a:fillRect/>
        </a:stretch>
      </xdr:blipFill>
      <xdr:spPr>
        <a:xfrm>
          <a:off x="0" y="95250"/>
          <a:ext cx="485775" cy="485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95251</xdr:rowOff>
    </xdr:from>
    <xdr:to>
      <xdr:col>2</xdr:col>
      <xdr:colOff>57151</xdr:colOff>
      <xdr:row>2</xdr:row>
      <xdr:rowOff>85726</xdr:rowOff>
    </xdr:to>
    <xdr:pic>
      <xdr:nvPicPr>
        <xdr:cNvPr id="2" name="Picture 1" descr="transport.png"/>
        <xdr:cNvPicPr>
          <a:picLocks noChangeAspect="1"/>
        </xdr:cNvPicPr>
      </xdr:nvPicPr>
      <xdr:blipFill>
        <a:blip xmlns:r="http://schemas.openxmlformats.org/officeDocument/2006/relationships" r:embed="rId1" cstate="print"/>
        <a:stretch>
          <a:fillRect/>
        </a:stretch>
      </xdr:blipFill>
      <xdr:spPr>
        <a:xfrm>
          <a:off x="1" y="95251"/>
          <a:ext cx="485775" cy="4857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2</xdr:col>
      <xdr:colOff>85725</xdr:colOff>
      <xdr:row>2</xdr:row>
      <xdr:rowOff>95250</xdr:rowOff>
    </xdr:to>
    <xdr:pic>
      <xdr:nvPicPr>
        <xdr:cNvPr id="4" name="Picture 3" descr="transport.png"/>
        <xdr:cNvPicPr>
          <a:picLocks noChangeAspect="1"/>
        </xdr:cNvPicPr>
      </xdr:nvPicPr>
      <xdr:blipFill>
        <a:blip xmlns:r="http://schemas.openxmlformats.org/officeDocument/2006/relationships" r:embed="rId1" cstate="print"/>
        <a:stretch>
          <a:fillRect/>
        </a:stretch>
      </xdr:blipFill>
      <xdr:spPr>
        <a:xfrm>
          <a:off x="0" y="95250"/>
          <a:ext cx="485775" cy="4857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0</xdr:row>
      <xdr:rowOff>85726</xdr:rowOff>
    </xdr:from>
    <xdr:to>
      <xdr:col>2</xdr:col>
      <xdr:colOff>57151</xdr:colOff>
      <xdr:row>2</xdr:row>
      <xdr:rowOff>85726</xdr:rowOff>
    </xdr:to>
    <xdr:pic>
      <xdr:nvPicPr>
        <xdr:cNvPr id="2" name="Picture 1" descr="water.png"/>
        <xdr:cNvPicPr>
          <a:picLocks noChangeAspect="1"/>
        </xdr:cNvPicPr>
      </xdr:nvPicPr>
      <xdr:blipFill>
        <a:blip xmlns:r="http://schemas.openxmlformats.org/officeDocument/2006/relationships" r:embed="rId1" cstate="print"/>
        <a:stretch>
          <a:fillRect/>
        </a:stretch>
      </xdr:blipFill>
      <xdr:spPr>
        <a:xfrm>
          <a:off x="1" y="85726"/>
          <a:ext cx="485775" cy="485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2</xdr:col>
      <xdr:colOff>57150</xdr:colOff>
      <xdr:row>2</xdr:row>
      <xdr:rowOff>104775</xdr:rowOff>
    </xdr:to>
    <xdr:pic>
      <xdr:nvPicPr>
        <xdr:cNvPr id="2" name="Picture 1" descr="water.png"/>
        <xdr:cNvPicPr>
          <a:picLocks noChangeAspect="1"/>
        </xdr:cNvPicPr>
      </xdr:nvPicPr>
      <xdr:blipFill>
        <a:blip xmlns:r="http://schemas.openxmlformats.org/officeDocument/2006/relationships" r:embed="rId1" cstate="print"/>
        <a:stretch>
          <a:fillRect/>
        </a:stretch>
      </xdr:blipFill>
      <xdr:spPr>
        <a:xfrm>
          <a:off x="0" y="104775"/>
          <a:ext cx="485775" cy="485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Happold\projects\TRACE\Surabaya%20Data\110509%20Surabaya%20Urban%20GHG%20Inventory%20re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Tables"/>
      <sheetName val="Transport"/>
      <sheetName val="Transport Reference"/>
      <sheetName val="Solid Waste"/>
      <sheetName val="Solid Waste Reference"/>
      <sheetName val="Water "/>
      <sheetName val="Water Reference"/>
      <sheetName val="Stationary"/>
      <sheetName val="Stationary Reference"/>
      <sheetName val="Urban Forestry"/>
      <sheetName val="Urban Forestry Reference"/>
      <sheetName val="Bonus - Industrial Processes"/>
    </sheetNames>
    <sheetDataSet>
      <sheetData sheetId="0"/>
      <sheetData sheetId="1"/>
      <sheetData sheetId="2"/>
      <sheetData sheetId="3">
        <row r="7">
          <cell r="C7" t="str">
            <v>Gas/diesel oil</v>
          </cell>
          <cell r="D7">
            <v>1.1764705882352942</v>
          </cell>
        </row>
        <row r="8">
          <cell r="C8" t="str">
            <v>Motor gasoline</v>
          </cell>
          <cell r="D8">
            <v>1.35616</v>
          </cell>
        </row>
        <row r="9">
          <cell r="C9" t="str">
            <v>Biodiesel (100%)</v>
          </cell>
          <cell r="D9">
            <v>1.35616</v>
          </cell>
        </row>
        <row r="10">
          <cell r="C10" t="str">
            <v>Natural gas liquids</v>
          </cell>
          <cell r="D10">
            <v>1.6</v>
          </cell>
        </row>
        <row r="11">
          <cell r="C11" t="str">
            <v>Ethanol (100%)*</v>
          </cell>
          <cell r="D11">
            <v>1.2623599999999999</v>
          </cell>
        </row>
        <row r="12">
          <cell r="C12" t="str">
            <v>Liquefied petroleum gases (LPG)</v>
          </cell>
          <cell r="D12">
            <v>1.8442000000000001</v>
          </cell>
        </row>
        <row r="13">
          <cell r="C13" t="str">
            <v>Aviation gasoline</v>
          </cell>
          <cell r="D13">
            <v>1.415</v>
          </cell>
        </row>
        <row r="14">
          <cell r="C14" t="str">
            <v>Kerosene type jet fuel</v>
          </cell>
          <cell r="D14">
            <v>1.2607200000000001</v>
          </cell>
        </row>
        <row r="15">
          <cell r="C15" t="str">
            <v>CNG</v>
          </cell>
          <cell r="D15">
            <v>1</v>
          </cell>
        </row>
        <row r="22">
          <cell r="C22" t="str">
            <v>Gas/diesel oil</v>
          </cell>
          <cell r="D22">
            <v>74100</v>
          </cell>
          <cell r="E22">
            <v>3.9</v>
          </cell>
          <cell r="F22">
            <v>3.9</v>
          </cell>
          <cell r="G22">
            <v>75390.899999999994</v>
          </cell>
        </row>
        <row r="23">
          <cell r="C23" t="str">
            <v>Motor gasoline</v>
          </cell>
          <cell r="D23">
            <v>69300</v>
          </cell>
          <cell r="E23">
            <v>3.8</v>
          </cell>
          <cell r="F23">
            <v>5.7</v>
          </cell>
          <cell r="G23">
            <v>71146.8</v>
          </cell>
        </row>
        <row r="24">
          <cell r="C24" t="str">
            <v>Biodiesel (100%)</v>
          </cell>
          <cell r="D24">
            <v>70800</v>
          </cell>
          <cell r="E24">
            <v>3</v>
          </cell>
          <cell r="F24">
            <v>0.6</v>
          </cell>
          <cell r="G24">
            <v>71049</v>
          </cell>
        </row>
        <row r="25">
          <cell r="C25" t="str">
            <v>Natural gas liquids</v>
          </cell>
          <cell r="D25">
            <v>56100</v>
          </cell>
          <cell r="E25">
            <v>92</v>
          </cell>
          <cell r="F25">
            <v>3</v>
          </cell>
          <cell r="G25">
            <v>58962</v>
          </cell>
        </row>
        <row r="26">
          <cell r="C26" t="str">
            <v>Ethanol (100%)*</v>
          </cell>
          <cell r="D26">
            <v>79600</v>
          </cell>
          <cell r="E26">
            <v>139</v>
          </cell>
          <cell r="F26">
            <v>41</v>
          </cell>
          <cell r="G26">
            <v>95229</v>
          </cell>
        </row>
        <row r="27">
          <cell r="C27" t="str">
            <v>Liquefied petroleum gases (LPG)</v>
          </cell>
          <cell r="D27">
            <v>63100</v>
          </cell>
          <cell r="E27">
            <v>62</v>
          </cell>
          <cell r="F27">
            <v>0.2</v>
          </cell>
          <cell r="G27">
            <v>64464</v>
          </cell>
        </row>
        <row r="28">
          <cell r="C28" t="str">
            <v>Aviation gasoline</v>
          </cell>
          <cell r="D28">
            <v>70000</v>
          </cell>
          <cell r="E28">
            <v>3</v>
          </cell>
          <cell r="F28">
            <v>0.6</v>
          </cell>
          <cell r="G28">
            <v>70249</v>
          </cell>
        </row>
        <row r="29">
          <cell r="C29" t="str">
            <v>Kerosene type jet fuel</v>
          </cell>
          <cell r="D29">
            <v>71500</v>
          </cell>
          <cell r="E29">
            <v>3</v>
          </cell>
          <cell r="F29">
            <v>0.6</v>
          </cell>
          <cell r="G29">
            <v>71749</v>
          </cell>
        </row>
        <row r="30">
          <cell r="C30" t="str">
            <v>CNG</v>
          </cell>
          <cell r="D30">
            <v>56100</v>
          </cell>
          <cell r="E30">
            <v>92</v>
          </cell>
          <cell r="F30">
            <v>3</v>
          </cell>
          <cell r="G30">
            <v>58962</v>
          </cell>
        </row>
        <row r="37">
          <cell r="D37" t="str">
            <v>Albania</v>
          </cell>
          <cell r="E37" t="str">
            <v>Algeria</v>
          </cell>
          <cell r="F37" t="str">
            <v>Angola</v>
          </cell>
          <cell r="G37" t="str">
            <v>Argentina</v>
          </cell>
          <cell r="H37" t="str">
            <v>Armenia</v>
          </cell>
          <cell r="I37" t="str">
            <v>Australia</v>
          </cell>
          <cell r="J37" t="str">
            <v>Austria</v>
          </cell>
          <cell r="K37" t="str">
            <v>Azerbaijan</v>
          </cell>
          <cell r="L37" t="str">
            <v>Bahrain</v>
          </cell>
          <cell r="M37" t="str">
            <v>Bangladesh</v>
          </cell>
          <cell r="N37" t="str">
            <v>Belarus</v>
          </cell>
          <cell r="O37" t="str">
            <v>Belgium</v>
          </cell>
          <cell r="P37" t="str">
            <v>Benin</v>
          </cell>
          <cell r="Q37" t="str">
            <v>Bolivia</v>
          </cell>
          <cell r="R37" t="str">
            <v>Bosnia and Herzegovina</v>
          </cell>
          <cell r="S37" t="str">
            <v>Botswana</v>
          </cell>
          <cell r="T37" t="str">
            <v>Brazil</v>
          </cell>
          <cell r="U37" t="str">
            <v>Brunei Darussalam</v>
          </cell>
          <cell r="V37" t="str">
            <v>Bulgaria</v>
          </cell>
          <cell r="W37" t="str">
            <v>Cambodia</v>
          </cell>
          <cell r="X37" t="str">
            <v>Cameroon</v>
          </cell>
          <cell r="Y37" t="str">
            <v>Canada</v>
          </cell>
          <cell r="Z37" t="str">
            <v>Chile</v>
          </cell>
          <cell r="AA37" t="str">
            <v>Chinese Taipei</v>
          </cell>
          <cell r="AB37" t="str">
            <v>Colombia</v>
          </cell>
          <cell r="AC37" t="str">
            <v>Congo</v>
          </cell>
          <cell r="AD37" t="str">
            <v>Costa Rica</v>
          </cell>
          <cell r="AE37" t="str">
            <v>Côte d'Ivoire</v>
          </cell>
          <cell r="AF37" t="str">
            <v>Croatia</v>
          </cell>
          <cell r="AG37" t="str">
            <v>Cuba</v>
          </cell>
          <cell r="AH37" t="str">
            <v>Cyprus</v>
          </cell>
          <cell r="AI37" t="str">
            <v>Czech Republic</v>
          </cell>
          <cell r="AJ37" t="str">
            <v>Dem. People's Rep. of Korea</v>
          </cell>
          <cell r="AK37" t="str">
            <v>Democratic Republic of Congo</v>
          </cell>
          <cell r="AL37" t="str">
            <v>Denmark</v>
          </cell>
          <cell r="AM37" t="str">
            <v>Dominican Republic</v>
          </cell>
          <cell r="AN37" t="str">
            <v>Ecuador</v>
          </cell>
          <cell r="AO37" t="str">
            <v>Egypt</v>
          </cell>
          <cell r="AP37" t="str">
            <v>El Salvador</v>
          </cell>
          <cell r="AQ37" t="str">
            <v>Eritrea</v>
          </cell>
          <cell r="AR37" t="str">
            <v>Estonia</v>
          </cell>
          <cell r="AS37" t="str">
            <v>Ethiopia</v>
          </cell>
          <cell r="AT37" t="str">
            <v>Finland</v>
          </cell>
          <cell r="AU37" t="str">
            <v>Former Yugoslav Republic of Macedonia</v>
          </cell>
          <cell r="AV37" t="str">
            <v>France</v>
          </cell>
          <cell r="AW37" t="str">
            <v>Gabon</v>
          </cell>
          <cell r="AX37" t="str">
            <v>Georgia</v>
          </cell>
          <cell r="AY37" t="str">
            <v>Germany</v>
          </cell>
          <cell r="AZ37" t="str">
            <v>Ghana</v>
          </cell>
          <cell r="BA37" t="str">
            <v>Gibraltar</v>
          </cell>
          <cell r="BB37" t="str">
            <v>Greece</v>
          </cell>
          <cell r="BC37" t="str">
            <v>Guatemala</v>
          </cell>
          <cell r="BD37" t="str">
            <v>Haiti</v>
          </cell>
          <cell r="BE37" t="str">
            <v>Honduras</v>
          </cell>
          <cell r="BF37" t="str">
            <v>Hong Kong, China</v>
          </cell>
          <cell r="BG37" t="str">
            <v>Hungary</v>
          </cell>
          <cell r="BH37" t="str">
            <v>Iceland</v>
          </cell>
          <cell r="BI37" t="str">
            <v>India</v>
          </cell>
          <cell r="BJ37" t="str">
            <v>Indonesia</v>
          </cell>
          <cell r="BK37" t="str">
            <v>Iraq</v>
          </cell>
          <cell r="BL37" t="str">
            <v>Ireland</v>
          </cell>
          <cell r="BM37" t="str">
            <v>Islamic Republic of Iran</v>
          </cell>
          <cell r="BN37" t="str">
            <v>Israel</v>
          </cell>
          <cell r="BO37" t="str">
            <v>Italy</v>
          </cell>
          <cell r="BP37" t="str">
            <v>Jamaica</v>
          </cell>
          <cell r="BQ37" t="str">
            <v>Japan</v>
          </cell>
          <cell r="BR37" t="str">
            <v>Jordan</v>
          </cell>
          <cell r="BS37" t="str">
            <v>Kazakhstan</v>
          </cell>
          <cell r="BT37" t="str">
            <v>Kenya</v>
          </cell>
          <cell r="BU37" t="str">
            <v>Korea</v>
          </cell>
          <cell r="BV37" t="str">
            <v>Kuwait</v>
          </cell>
          <cell r="BW37" t="str">
            <v>Kyrgyzstan</v>
          </cell>
          <cell r="BX37" t="str">
            <v>Latvia</v>
          </cell>
          <cell r="BY37" t="str">
            <v>Lebanon</v>
          </cell>
          <cell r="BZ37" t="str">
            <v>Libya</v>
          </cell>
          <cell r="CA37" t="str">
            <v>Lithuania</v>
          </cell>
          <cell r="CB37" t="str">
            <v>Luxembourg</v>
          </cell>
          <cell r="CC37" t="str">
            <v>Malaysia</v>
          </cell>
          <cell r="CD37" t="str">
            <v>Malta</v>
          </cell>
          <cell r="CE37" t="str">
            <v>Mexico</v>
          </cell>
          <cell r="CF37" t="str">
            <v>Mongolia</v>
          </cell>
          <cell r="CG37" t="str">
            <v>Morocco</v>
          </cell>
          <cell r="CH37" t="str">
            <v>Mozambique</v>
          </cell>
          <cell r="CI37" t="str">
            <v>Myanmar</v>
          </cell>
          <cell r="CJ37" t="str">
            <v>Namibia</v>
          </cell>
          <cell r="CK37" t="str">
            <v>Nepal</v>
          </cell>
          <cell r="CL37" t="str">
            <v>Netherlands</v>
          </cell>
          <cell r="CM37" t="str">
            <v>Netherlands Antilles</v>
          </cell>
          <cell r="CN37" t="str">
            <v>New Zealand</v>
          </cell>
          <cell r="CO37" t="str">
            <v>Nicaragua</v>
          </cell>
          <cell r="CP37" t="str">
            <v>Nigeria</v>
          </cell>
          <cell r="CQ37" t="str">
            <v>Norway</v>
          </cell>
          <cell r="CR37" t="str">
            <v>Oman</v>
          </cell>
          <cell r="CS37" t="str">
            <v>Pakistan</v>
          </cell>
          <cell r="CT37" t="str">
            <v>Panama</v>
          </cell>
          <cell r="CU37" t="str">
            <v>Paraguay</v>
          </cell>
          <cell r="CV37" t="str">
            <v>People's Republic of China</v>
          </cell>
          <cell r="CW37" t="str">
            <v>Peru</v>
          </cell>
          <cell r="CX37" t="str">
            <v>Philippines</v>
          </cell>
          <cell r="CY37" t="str">
            <v>Poland</v>
          </cell>
          <cell r="CZ37" t="str">
            <v>Portugal</v>
          </cell>
          <cell r="DA37" t="str">
            <v>Qatar</v>
          </cell>
          <cell r="DB37" t="str">
            <v>Republic of Moldova</v>
          </cell>
          <cell r="DC37" t="str">
            <v>Romania</v>
          </cell>
          <cell r="DD37" t="str">
            <v>Russia</v>
          </cell>
          <cell r="DE37" t="str">
            <v>Saudi Arabia</v>
          </cell>
          <cell r="DF37" t="str">
            <v>Senegal</v>
          </cell>
          <cell r="DG37" t="str">
            <v>Serbia</v>
          </cell>
          <cell r="DH37" t="str">
            <v>Singapore</v>
          </cell>
          <cell r="DI37" t="str">
            <v>Slovak Republic</v>
          </cell>
          <cell r="DJ37" t="str">
            <v>Slovenia</v>
          </cell>
          <cell r="DK37" t="str">
            <v>South Africa</v>
          </cell>
          <cell r="DL37" t="str">
            <v>Spain</v>
          </cell>
          <cell r="DM37" t="str">
            <v>Sri Lanka</v>
          </cell>
          <cell r="DN37" t="str">
            <v>Sudan</v>
          </cell>
          <cell r="DO37" t="str">
            <v>Sweden</v>
          </cell>
          <cell r="DP37" t="str">
            <v>Switzerland</v>
          </cell>
          <cell r="DQ37" t="str">
            <v>Syria</v>
          </cell>
          <cell r="DR37" t="str">
            <v>Tajikistan</v>
          </cell>
          <cell r="DS37" t="str">
            <v>Thailand</v>
          </cell>
          <cell r="DT37" t="str">
            <v>Togo</v>
          </cell>
          <cell r="DU37" t="str">
            <v>Trinidad and Tobago</v>
          </cell>
          <cell r="DV37" t="str">
            <v>Tunisia</v>
          </cell>
          <cell r="DW37" t="str">
            <v>Turkey</v>
          </cell>
          <cell r="DX37" t="str">
            <v>Turkmenistan</v>
          </cell>
          <cell r="DY37" t="str">
            <v>Ukraine</v>
          </cell>
          <cell r="DZ37" t="str">
            <v>United Arab Emirates</v>
          </cell>
          <cell r="EA37" t="str">
            <v>United Kingdom</v>
          </cell>
          <cell r="EB37" t="str">
            <v>United Republic of Tanzania</v>
          </cell>
          <cell r="EC37" t="str">
            <v>United States</v>
          </cell>
          <cell r="ED37" t="str">
            <v>Uruguay</v>
          </cell>
          <cell r="EE37" t="str">
            <v>Uzbekistan</v>
          </cell>
          <cell r="EF37" t="str">
            <v>Venezuela</v>
          </cell>
          <cell r="EG37" t="str">
            <v>Vietnam</v>
          </cell>
          <cell r="EH37" t="str">
            <v>Yemen</v>
          </cell>
          <cell r="EI37" t="str">
            <v>Zambia</v>
          </cell>
          <cell r="EJ37" t="str">
            <v>Zimbabwe</v>
          </cell>
          <cell r="EK37" t="str">
            <v>Other Africa</v>
          </cell>
          <cell r="EL37" t="str">
            <v>Other Asia</v>
          </cell>
          <cell r="EM37" t="str">
            <v>Other Latin America</v>
          </cell>
        </row>
        <row r="38">
          <cell r="D38">
            <v>42600</v>
          </cell>
          <cell r="E38">
            <v>42600</v>
          </cell>
          <cell r="F38">
            <v>42600</v>
          </cell>
          <cell r="G38">
            <v>42600</v>
          </cell>
          <cell r="H38">
            <v>42600</v>
          </cell>
          <cell r="I38">
            <v>42600</v>
          </cell>
          <cell r="J38">
            <v>42600</v>
          </cell>
          <cell r="K38">
            <v>42600</v>
          </cell>
          <cell r="L38">
            <v>42600</v>
          </cell>
          <cell r="M38">
            <v>42600</v>
          </cell>
          <cell r="N38">
            <v>42600</v>
          </cell>
          <cell r="O38">
            <v>42600</v>
          </cell>
          <cell r="P38">
            <v>42600</v>
          </cell>
          <cell r="Q38">
            <v>42600</v>
          </cell>
          <cell r="R38">
            <v>42600</v>
          </cell>
          <cell r="S38">
            <v>42600</v>
          </cell>
          <cell r="T38">
            <v>42600</v>
          </cell>
          <cell r="U38">
            <v>42600</v>
          </cell>
          <cell r="V38">
            <v>42600</v>
          </cell>
          <cell r="W38">
            <v>42600</v>
          </cell>
          <cell r="X38">
            <v>42600</v>
          </cell>
          <cell r="Y38">
            <v>42600</v>
          </cell>
          <cell r="Z38">
            <v>42600</v>
          </cell>
          <cell r="AA38">
            <v>42600</v>
          </cell>
          <cell r="AB38">
            <v>42600</v>
          </cell>
          <cell r="AC38">
            <v>42600</v>
          </cell>
          <cell r="AD38">
            <v>42600</v>
          </cell>
          <cell r="AE38">
            <v>42600</v>
          </cell>
          <cell r="AF38">
            <v>42600</v>
          </cell>
          <cell r="AG38">
            <v>42600</v>
          </cell>
          <cell r="AH38">
            <v>42600</v>
          </cell>
          <cell r="AI38">
            <v>43300</v>
          </cell>
          <cell r="AJ38">
            <v>43300</v>
          </cell>
          <cell r="AK38">
            <v>42705</v>
          </cell>
          <cell r="AL38">
            <v>42600</v>
          </cell>
          <cell r="AM38">
            <v>42600</v>
          </cell>
          <cell r="AN38">
            <v>43300</v>
          </cell>
          <cell r="AO38">
            <v>43300</v>
          </cell>
          <cell r="AP38">
            <v>42600</v>
          </cell>
          <cell r="AQ38">
            <v>43300</v>
          </cell>
          <cell r="AR38">
            <v>43300</v>
          </cell>
          <cell r="AS38">
            <v>42600</v>
          </cell>
          <cell r="AT38">
            <v>43300</v>
          </cell>
          <cell r="AU38">
            <v>42789</v>
          </cell>
          <cell r="AV38">
            <v>43300</v>
          </cell>
          <cell r="AW38">
            <v>42600</v>
          </cell>
          <cell r="AX38">
            <v>43300</v>
          </cell>
          <cell r="AY38">
            <v>43300</v>
          </cell>
          <cell r="AZ38">
            <v>43300</v>
          </cell>
          <cell r="BA38">
            <v>42705</v>
          </cell>
          <cell r="BB38">
            <v>43300</v>
          </cell>
          <cell r="BC38">
            <v>43102</v>
          </cell>
          <cell r="BD38">
            <v>43300</v>
          </cell>
          <cell r="BE38">
            <v>43300</v>
          </cell>
          <cell r="BF38">
            <v>43300</v>
          </cell>
          <cell r="BG38">
            <v>43300</v>
          </cell>
          <cell r="BH38">
            <v>42600</v>
          </cell>
          <cell r="BI38">
            <v>43300</v>
          </cell>
          <cell r="BJ38">
            <v>42600</v>
          </cell>
          <cell r="BK38">
            <v>43300</v>
          </cell>
          <cell r="BL38">
            <v>43300</v>
          </cell>
          <cell r="BM38">
            <v>43300</v>
          </cell>
          <cell r="BN38">
            <v>43300</v>
          </cell>
          <cell r="BO38">
            <v>43300</v>
          </cell>
          <cell r="BP38">
            <v>42600</v>
          </cell>
          <cell r="BQ38">
            <v>43300</v>
          </cell>
          <cell r="BR38">
            <v>43300</v>
          </cell>
          <cell r="BS38">
            <v>42600</v>
          </cell>
          <cell r="BT38">
            <v>43300</v>
          </cell>
          <cell r="BU38">
            <v>42600</v>
          </cell>
          <cell r="BV38">
            <v>43300</v>
          </cell>
          <cell r="BW38">
            <v>43300</v>
          </cell>
          <cell r="BX38">
            <v>43300</v>
          </cell>
          <cell r="BY38">
            <v>43300</v>
          </cell>
          <cell r="BZ38">
            <v>43300</v>
          </cell>
          <cell r="CA38">
            <v>43300</v>
          </cell>
          <cell r="CB38">
            <v>43300</v>
          </cell>
          <cell r="CC38">
            <v>43300</v>
          </cell>
          <cell r="CD38">
            <v>43300</v>
          </cell>
          <cell r="CE38">
            <v>43300</v>
          </cell>
          <cell r="CF38">
            <v>42663</v>
          </cell>
          <cell r="CG38">
            <v>42600</v>
          </cell>
          <cell r="CH38">
            <v>43300</v>
          </cell>
          <cell r="CI38">
            <v>43300</v>
          </cell>
          <cell r="CJ38">
            <v>43300</v>
          </cell>
          <cell r="CK38">
            <v>42600</v>
          </cell>
          <cell r="CL38">
            <v>42600</v>
          </cell>
          <cell r="CM38">
            <v>45217</v>
          </cell>
          <cell r="CN38">
            <v>43300</v>
          </cell>
          <cell r="CO38">
            <v>42600</v>
          </cell>
          <cell r="CP38">
            <v>42600</v>
          </cell>
          <cell r="CQ38">
            <v>42496</v>
          </cell>
          <cell r="CR38">
            <v>42600</v>
          </cell>
          <cell r="CS38">
            <v>42600</v>
          </cell>
          <cell r="CT38">
            <v>43300</v>
          </cell>
          <cell r="CU38">
            <v>43300</v>
          </cell>
          <cell r="CV38">
            <v>43300</v>
          </cell>
          <cell r="CW38">
            <v>43300</v>
          </cell>
          <cell r="CX38">
            <v>45427</v>
          </cell>
          <cell r="CY38">
            <v>46013</v>
          </cell>
          <cell r="CZ38">
            <v>43300</v>
          </cell>
          <cell r="DA38">
            <v>42747</v>
          </cell>
          <cell r="DB38">
            <v>43300</v>
          </cell>
          <cell r="DC38">
            <v>43300</v>
          </cell>
          <cell r="DD38">
            <v>44087</v>
          </cell>
          <cell r="DE38">
            <v>43300</v>
          </cell>
          <cell r="DF38">
            <v>42873</v>
          </cell>
          <cell r="DG38">
            <v>43300</v>
          </cell>
          <cell r="DH38">
            <v>43300</v>
          </cell>
          <cell r="DI38">
            <v>43300</v>
          </cell>
          <cell r="DJ38">
            <v>42600</v>
          </cell>
          <cell r="DK38">
            <v>42600</v>
          </cell>
          <cell r="DL38">
            <v>43300</v>
          </cell>
          <cell r="DM38">
            <v>43543</v>
          </cell>
          <cell r="DN38">
            <v>42600</v>
          </cell>
          <cell r="DO38">
            <v>43300</v>
          </cell>
          <cell r="DP38">
            <v>42600</v>
          </cell>
          <cell r="DQ38">
            <v>42915</v>
          </cell>
          <cell r="DR38">
            <v>43961</v>
          </cell>
          <cell r="DS38">
            <v>43300</v>
          </cell>
          <cell r="DT38">
            <v>43300</v>
          </cell>
          <cell r="DU38">
            <v>42600</v>
          </cell>
          <cell r="DV38">
            <v>43300</v>
          </cell>
          <cell r="DW38">
            <v>42370</v>
          </cell>
          <cell r="DX38">
            <v>43300</v>
          </cell>
          <cell r="DY38">
            <v>43300</v>
          </cell>
          <cell r="DZ38">
            <v>42998</v>
          </cell>
          <cell r="EA38">
            <v>42600</v>
          </cell>
          <cell r="EB38">
            <v>42600</v>
          </cell>
          <cell r="EC38">
            <v>43300</v>
          </cell>
          <cell r="ED38">
            <v>44631</v>
          </cell>
          <cell r="EE38">
            <v>42600</v>
          </cell>
          <cell r="EF38">
            <v>45245</v>
          </cell>
          <cell r="EG38">
            <v>42496</v>
          </cell>
          <cell r="EH38">
            <v>43300</v>
          </cell>
          <cell r="EI38">
            <v>42772</v>
          </cell>
          <cell r="EJ38">
            <v>43300</v>
          </cell>
          <cell r="EK38">
            <v>43300</v>
          </cell>
          <cell r="EL38">
            <v>43300</v>
          </cell>
          <cell r="EM38">
            <v>43300</v>
          </cell>
        </row>
        <row r="39">
          <cell r="D39">
            <v>44600</v>
          </cell>
          <cell r="E39">
            <v>44000</v>
          </cell>
          <cell r="F39">
            <v>44000</v>
          </cell>
          <cell r="G39">
            <v>44800</v>
          </cell>
          <cell r="H39">
            <v>44000</v>
          </cell>
          <cell r="I39">
            <v>44000</v>
          </cell>
          <cell r="J39">
            <v>44000</v>
          </cell>
          <cell r="K39">
            <v>44000</v>
          </cell>
          <cell r="L39">
            <v>44000</v>
          </cell>
          <cell r="M39">
            <v>44000</v>
          </cell>
          <cell r="N39">
            <v>44000</v>
          </cell>
          <cell r="O39">
            <v>44000</v>
          </cell>
          <cell r="P39">
            <v>44000</v>
          </cell>
          <cell r="Q39">
            <v>44000</v>
          </cell>
          <cell r="R39">
            <v>44600</v>
          </cell>
          <cell r="S39">
            <v>44600</v>
          </cell>
          <cell r="T39">
            <v>44000</v>
          </cell>
          <cell r="U39">
            <v>44800</v>
          </cell>
          <cell r="V39">
            <v>44000</v>
          </cell>
          <cell r="W39">
            <v>44600</v>
          </cell>
          <cell r="X39">
            <v>44000</v>
          </cell>
          <cell r="Y39">
            <v>44000</v>
          </cell>
          <cell r="Z39">
            <v>44000</v>
          </cell>
          <cell r="AA39">
            <v>44000</v>
          </cell>
          <cell r="AB39">
            <v>44000</v>
          </cell>
          <cell r="AC39">
            <v>44000</v>
          </cell>
          <cell r="AD39">
            <v>44000</v>
          </cell>
          <cell r="AE39">
            <v>44000</v>
          </cell>
          <cell r="AF39">
            <v>44000</v>
          </cell>
          <cell r="AG39">
            <v>44800</v>
          </cell>
          <cell r="AH39">
            <v>44000</v>
          </cell>
          <cell r="AI39">
            <v>44800</v>
          </cell>
          <cell r="AJ39">
            <v>44800</v>
          </cell>
          <cell r="AK39">
            <v>43543</v>
          </cell>
          <cell r="AL39">
            <v>44000</v>
          </cell>
          <cell r="AM39">
            <v>44000</v>
          </cell>
          <cell r="AN39">
            <v>44800</v>
          </cell>
          <cell r="AO39">
            <v>44800</v>
          </cell>
          <cell r="AP39">
            <v>44000</v>
          </cell>
          <cell r="AQ39">
            <v>44800</v>
          </cell>
          <cell r="AR39">
            <v>44800</v>
          </cell>
          <cell r="AS39">
            <v>44000</v>
          </cell>
          <cell r="AT39">
            <v>44800</v>
          </cell>
          <cell r="AU39">
            <v>44589</v>
          </cell>
          <cell r="AV39">
            <v>44800</v>
          </cell>
          <cell r="AW39">
            <v>44000</v>
          </cell>
          <cell r="AX39">
            <v>44800</v>
          </cell>
          <cell r="AY39">
            <v>44800</v>
          </cell>
          <cell r="AZ39">
            <v>44800</v>
          </cell>
          <cell r="BA39">
            <v>43124</v>
          </cell>
          <cell r="BB39">
            <v>44800</v>
          </cell>
          <cell r="BC39">
            <v>43570</v>
          </cell>
          <cell r="BD39">
            <v>44800</v>
          </cell>
          <cell r="BE39">
            <v>44800</v>
          </cell>
          <cell r="BF39">
            <v>44800</v>
          </cell>
          <cell r="BG39">
            <v>44800</v>
          </cell>
          <cell r="BH39">
            <v>44000</v>
          </cell>
          <cell r="BI39">
            <v>44800</v>
          </cell>
          <cell r="BJ39">
            <v>44000</v>
          </cell>
          <cell r="BK39">
            <v>44800</v>
          </cell>
          <cell r="BL39">
            <v>44800</v>
          </cell>
          <cell r="BM39">
            <v>44800</v>
          </cell>
          <cell r="BN39">
            <v>44800</v>
          </cell>
          <cell r="BO39">
            <v>44800</v>
          </cell>
          <cell r="BP39">
            <v>44000</v>
          </cell>
          <cell r="BQ39">
            <v>44800</v>
          </cell>
          <cell r="BR39">
            <v>44800</v>
          </cell>
          <cell r="BS39">
            <v>44000</v>
          </cell>
          <cell r="BT39">
            <v>44800</v>
          </cell>
          <cell r="BU39">
            <v>44000</v>
          </cell>
          <cell r="BV39">
            <v>44800</v>
          </cell>
          <cell r="BW39">
            <v>44800</v>
          </cell>
          <cell r="BX39">
            <v>44800</v>
          </cell>
          <cell r="BY39">
            <v>44800</v>
          </cell>
          <cell r="BZ39">
            <v>44800</v>
          </cell>
          <cell r="CA39">
            <v>44800</v>
          </cell>
          <cell r="CB39">
            <v>44800</v>
          </cell>
          <cell r="CC39">
            <v>44800</v>
          </cell>
          <cell r="CD39">
            <v>44800</v>
          </cell>
          <cell r="CE39">
            <v>44800</v>
          </cell>
          <cell r="CF39">
            <v>43543</v>
          </cell>
          <cell r="CG39">
            <v>44000</v>
          </cell>
          <cell r="CH39">
            <v>44800</v>
          </cell>
          <cell r="CI39">
            <v>44800</v>
          </cell>
          <cell r="CJ39">
            <v>44800</v>
          </cell>
          <cell r="CK39">
            <v>44000</v>
          </cell>
          <cell r="CL39">
            <v>44000</v>
          </cell>
          <cell r="CM39">
            <v>44800</v>
          </cell>
          <cell r="CN39">
            <v>44800</v>
          </cell>
          <cell r="CO39">
            <v>44000</v>
          </cell>
          <cell r="CP39">
            <v>44000</v>
          </cell>
          <cell r="CQ39">
            <v>43991</v>
          </cell>
          <cell r="CR39">
            <v>44000</v>
          </cell>
          <cell r="CS39">
            <v>44000</v>
          </cell>
          <cell r="CT39">
            <v>44800</v>
          </cell>
          <cell r="CU39">
            <v>44800</v>
          </cell>
          <cell r="CV39">
            <v>44800</v>
          </cell>
          <cell r="CW39">
            <v>44800</v>
          </cell>
          <cell r="CX39">
            <v>46892</v>
          </cell>
          <cell r="CY39">
            <v>47185</v>
          </cell>
          <cell r="CZ39">
            <v>44800</v>
          </cell>
          <cell r="DA39">
            <v>44129</v>
          </cell>
          <cell r="DB39">
            <v>44800</v>
          </cell>
          <cell r="DC39">
            <v>44800</v>
          </cell>
          <cell r="DD39">
            <v>44800</v>
          </cell>
          <cell r="DE39">
            <v>44800</v>
          </cell>
          <cell r="DF39">
            <v>44800</v>
          </cell>
          <cell r="DG39">
            <v>44800</v>
          </cell>
          <cell r="DH39">
            <v>44800</v>
          </cell>
          <cell r="DI39">
            <v>44800</v>
          </cell>
          <cell r="DJ39">
            <v>44000</v>
          </cell>
          <cell r="DK39">
            <v>44000</v>
          </cell>
          <cell r="DL39">
            <v>44800</v>
          </cell>
          <cell r="DM39">
            <v>44800</v>
          </cell>
          <cell r="DN39">
            <v>44000</v>
          </cell>
          <cell r="DO39">
            <v>44800</v>
          </cell>
          <cell r="DP39">
            <v>44000</v>
          </cell>
          <cell r="DQ39">
            <v>44045</v>
          </cell>
          <cell r="DR39">
            <v>45636</v>
          </cell>
          <cell r="DS39">
            <v>44800</v>
          </cell>
          <cell r="DT39">
            <v>44800</v>
          </cell>
          <cell r="DU39">
            <v>44000</v>
          </cell>
          <cell r="DV39">
            <v>44800</v>
          </cell>
          <cell r="DW39">
            <v>43124</v>
          </cell>
          <cell r="DX39">
            <v>44800</v>
          </cell>
          <cell r="DY39">
            <v>44800</v>
          </cell>
          <cell r="DZ39">
            <v>43878</v>
          </cell>
          <cell r="EA39">
            <v>44000</v>
          </cell>
          <cell r="EB39">
            <v>44000</v>
          </cell>
          <cell r="EC39">
            <v>44800</v>
          </cell>
          <cell r="ED39">
            <v>44236</v>
          </cell>
          <cell r="EE39">
            <v>44000</v>
          </cell>
          <cell r="EF39">
            <v>46942</v>
          </cell>
          <cell r="EG39">
            <v>43961</v>
          </cell>
          <cell r="EH39">
            <v>44800</v>
          </cell>
          <cell r="EI39">
            <v>43002</v>
          </cell>
          <cell r="EJ39">
            <v>44800</v>
          </cell>
          <cell r="EK39">
            <v>44800</v>
          </cell>
          <cell r="EL39">
            <v>44800</v>
          </cell>
          <cell r="EM39">
            <v>44800</v>
          </cell>
        </row>
        <row r="40">
          <cell r="D40">
            <v>36800</v>
          </cell>
          <cell r="E40">
            <v>36600</v>
          </cell>
          <cell r="F40" t="str">
            <v>x</v>
          </cell>
          <cell r="G40" t="str">
            <v>x</v>
          </cell>
          <cell r="H40">
            <v>37100</v>
          </cell>
          <cell r="I40">
            <v>37600</v>
          </cell>
          <cell r="J40">
            <v>36800</v>
          </cell>
          <cell r="K40">
            <v>37867</v>
          </cell>
          <cell r="L40">
            <v>37320</v>
          </cell>
          <cell r="M40">
            <v>36800</v>
          </cell>
          <cell r="N40">
            <v>36800</v>
          </cell>
          <cell r="O40">
            <v>37273</v>
          </cell>
          <cell r="P40">
            <v>37273</v>
          </cell>
          <cell r="Q40">
            <v>37400</v>
          </cell>
          <cell r="R40">
            <v>36800</v>
          </cell>
          <cell r="S40">
            <v>38210</v>
          </cell>
          <cell r="T40">
            <v>36800</v>
          </cell>
          <cell r="U40">
            <v>36800</v>
          </cell>
          <cell r="V40">
            <v>38000</v>
          </cell>
          <cell r="W40">
            <v>36800</v>
          </cell>
          <cell r="X40">
            <v>36800</v>
          </cell>
          <cell r="Y40">
            <v>36800</v>
          </cell>
          <cell r="Z40">
            <v>37000</v>
          </cell>
          <cell r="AA40">
            <v>41255</v>
          </cell>
          <cell r="AB40">
            <v>37681</v>
          </cell>
          <cell r="AC40">
            <v>33404</v>
          </cell>
          <cell r="AD40">
            <v>32040</v>
          </cell>
          <cell r="AE40">
            <v>37046</v>
          </cell>
          <cell r="AF40">
            <v>36800</v>
          </cell>
          <cell r="AG40">
            <v>40933</v>
          </cell>
          <cell r="AH40">
            <v>36800</v>
          </cell>
          <cell r="AI40">
            <v>36800</v>
          </cell>
          <cell r="AJ40">
            <v>36800</v>
          </cell>
          <cell r="AK40">
            <v>36800</v>
          </cell>
          <cell r="AL40">
            <v>36800</v>
          </cell>
          <cell r="AM40">
            <v>36800</v>
          </cell>
          <cell r="AN40">
            <v>36800</v>
          </cell>
          <cell r="AO40">
            <v>36800</v>
          </cell>
          <cell r="AP40">
            <v>36800</v>
          </cell>
          <cell r="AQ40">
            <v>36800</v>
          </cell>
          <cell r="AR40">
            <v>36800</v>
          </cell>
          <cell r="AS40">
            <v>36800</v>
          </cell>
          <cell r="AT40">
            <v>36800</v>
          </cell>
          <cell r="AU40">
            <v>42789</v>
          </cell>
          <cell r="AV40">
            <v>36800</v>
          </cell>
          <cell r="AW40">
            <v>36800</v>
          </cell>
          <cell r="AX40">
            <v>36800</v>
          </cell>
          <cell r="AY40">
            <v>36800</v>
          </cell>
          <cell r="AZ40">
            <v>36800</v>
          </cell>
          <cell r="BA40">
            <v>36800</v>
          </cell>
          <cell r="BB40">
            <v>36800</v>
          </cell>
          <cell r="BC40">
            <v>36800</v>
          </cell>
          <cell r="BD40">
            <v>36800</v>
          </cell>
          <cell r="BE40">
            <v>36800</v>
          </cell>
          <cell r="BF40">
            <v>36800</v>
          </cell>
          <cell r="BG40">
            <v>36800</v>
          </cell>
          <cell r="BH40">
            <v>36800</v>
          </cell>
          <cell r="BI40">
            <v>36800</v>
          </cell>
          <cell r="BJ40">
            <v>36800</v>
          </cell>
          <cell r="BK40">
            <v>36800</v>
          </cell>
          <cell r="BL40">
            <v>36800</v>
          </cell>
          <cell r="BM40">
            <v>36800</v>
          </cell>
          <cell r="BN40">
            <v>36800</v>
          </cell>
          <cell r="BO40">
            <v>36800</v>
          </cell>
          <cell r="BP40">
            <v>36800</v>
          </cell>
          <cell r="BQ40">
            <v>36800</v>
          </cell>
          <cell r="BR40">
            <v>36800</v>
          </cell>
          <cell r="BS40">
            <v>36800</v>
          </cell>
          <cell r="BT40">
            <v>36800</v>
          </cell>
          <cell r="BU40">
            <v>36800</v>
          </cell>
          <cell r="BV40">
            <v>36800</v>
          </cell>
          <cell r="BW40">
            <v>36800</v>
          </cell>
          <cell r="BX40">
            <v>36800</v>
          </cell>
          <cell r="BY40">
            <v>36800</v>
          </cell>
          <cell r="BZ40">
            <v>36800</v>
          </cell>
          <cell r="CA40">
            <v>36800</v>
          </cell>
          <cell r="CB40">
            <v>36800</v>
          </cell>
          <cell r="CC40">
            <v>36800</v>
          </cell>
          <cell r="CD40">
            <v>36800</v>
          </cell>
          <cell r="CE40">
            <v>36800</v>
          </cell>
          <cell r="CF40">
            <v>36800</v>
          </cell>
          <cell r="CG40">
            <v>36800</v>
          </cell>
          <cell r="CH40">
            <v>36800</v>
          </cell>
          <cell r="CI40">
            <v>36800</v>
          </cell>
          <cell r="CJ40">
            <v>36800</v>
          </cell>
          <cell r="CK40">
            <v>36800</v>
          </cell>
          <cell r="CL40">
            <v>36800</v>
          </cell>
          <cell r="CM40">
            <v>36800</v>
          </cell>
          <cell r="CN40">
            <v>36800</v>
          </cell>
          <cell r="CO40">
            <v>36800</v>
          </cell>
          <cell r="CP40">
            <v>36800</v>
          </cell>
          <cell r="CQ40">
            <v>36800</v>
          </cell>
          <cell r="CR40">
            <v>36800</v>
          </cell>
          <cell r="CS40">
            <v>36800</v>
          </cell>
          <cell r="CT40">
            <v>36800</v>
          </cell>
          <cell r="CU40">
            <v>36800</v>
          </cell>
          <cell r="CV40">
            <v>36800</v>
          </cell>
          <cell r="CW40">
            <v>36800</v>
          </cell>
          <cell r="CX40">
            <v>36800</v>
          </cell>
          <cell r="CY40">
            <v>36800</v>
          </cell>
          <cell r="CZ40">
            <v>36800</v>
          </cell>
          <cell r="DA40">
            <v>36800</v>
          </cell>
          <cell r="DB40">
            <v>36800</v>
          </cell>
          <cell r="DC40">
            <v>36800</v>
          </cell>
          <cell r="DD40">
            <v>36800</v>
          </cell>
          <cell r="DE40">
            <v>36800</v>
          </cell>
          <cell r="DF40">
            <v>36800</v>
          </cell>
          <cell r="DG40">
            <v>36800</v>
          </cell>
          <cell r="DH40">
            <v>36800</v>
          </cell>
          <cell r="DI40">
            <v>36800</v>
          </cell>
          <cell r="DJ40">
            <v>36800</v>
          </cell>
          <cell r="DK40">
            <v>36800</v>
          </cell>
          <cell r="DL40">
            <v>36800</v>
          </cell>
          <cell r="DM40">
            <v>36800</v>
          </cell>
          <cell r="DN40">
            <v>36800</v>
          </cell>
          <cell r="DO40">
            <v>36800</v>
          </cell>
          <cell r="DP40">
            <v>36800</v>
          </cell>
          <cell r="DQ40">
            <v>36800</v>
          </cell>
          <cell r="DR40">
            <v>36800</v>
          </cell>
          <cell r="DS40">
            <v>36800</v>
          </cell>
          <cell r="DT40">
            <v>36800</v>
          </cell>
          <cell r="DU40">
            <v>36800</v>
          </cell>
          <cell r="DV40">
            <v>36800</v>
          </cell>
          <cell r="DW40">
            <v>36800</v>
          </cell>
          <cell r="DX40">
            <v>36800</v>
          </cell>
          <cell r="DY40">
            <v>36800</v>
          </cell>
          <cell r="DZ40">
            <v>36800</v>
          </cell>
          <cell r="EA40">
            <v>36800</v>
          </cell>
          <cell r="EB40">
            <v>36800</v>
          </cell>
          <cell r="EC40">
            <v>36800</v>
          </cell>
          <cell r="ED40">
            <v>36800</v>
          </cell>
          <cell r="EE40">
            <v>36800</v>
          </cell>
          <cell r="EF40">
            <v>36800</v>
          </cell>
          <cell r="EG40">
            <v>36800</v>
          </cell>
          <cell r="EH40">
            <v>36800</v>
          </cell>
          <cell r="EI40">
            <v>36800</v>
          </cell>
          <cell r="EJ40">
            <v>36800</v>
          </cell>
          <cell r="EK40">
            <v>36800</v>
          </cell>
          <cell r="EL40">
            <v>36800</v>
          </cell>
          <cell r="EM40">
            <v>36800</v>
          </cell>
        </row>
        <row r="41">
          <cell r="D41">
            <v>45410</v>
          </cell>
          <cell r="E41">
            <v>42500</v>
          </cell>
          <cell r="F41" t="str">
            <v>x</v>
          </cell>
          <cell r="G41">
            <v>45220</v>
          </cell>
          <cell r="H41" t="str">
            <v>x</v>
          </cell>
          <cell r="I41" t="str">
            <v>x</v>
          </cell>
          <cell r="J41">
            <v>45217</v>
          </cell>
          <cell r="K41">
            <v>42000</v>
          </cell>
          <cell r="L41" t="str">
            <v>x</v>
          </cell>
          <cell r="M41">
            <v>41555</v>
          </cell>
          <cell r="N41">
            <v>44000</v>
          </cell>
          <cell r="O41" t="str">
            <v>x</v>
          </cell>
          <cell r="P41" t="str">
            <v>x</v>
          </cell>
          <cell r="Q41" t="str">
            <v>x</v>
          </cell>
          <cell r="R41">
            <v>46513</v>
          </cell>
          <cell r="S41" t="str">
            <v>x</v>
          </cell>
          <cell r="T41" t="str">
            <v>x</v>
          </cell>
          <cell r="U41">
            <v>42661</v>
          </cell>
          <cell r="V41">
            <v>44000</v>
          </cell>
          <cell r="W41">
            <v>45550</v>
          </cell>
          <cell r="X41">
            <v>43795</v>
          </cell>
          <cell r="Y41" t="str">
            <v>x</v>
          </cell>
          <cell r="Z41" t="str">
            <v>x</v>
          </cell>
          <cell r="AA41">
            <v>44000</v>
          </cell>
          <cell r="AB41" t="str">
            <v>x</v>
          </cell>
          <cell r="AC41" t="str">
            <v>x</v>
          </cell>
          <cell r="AD41" t="str">
            <v>x</v>
          </cell>
          <cell r="AE41" t="str">
            <v>x</v>
          </cell>
          <cell r="AF41">
            <v>47063</v>
          </cell>
          <cell r="AG41">
            <v>46478</v>
          </cell>
          <cell r="AH41">
            <v>45176</v>
          </cell>
          <cell r="AI41">
            <v>46725</v>
          </cell>
          <cell r="AJ41">
            <v>41868</v>
          </cell>
          <cell r="AK41">
            <v>42496</v>
          </cell>
          <cell r="AL41">
            <v>41910</v>
          </cell>
          <cell r="AM41">
            <v>41910</v>
          </cell>
          <cell r="AN41">
            <v>42705</v>
          </cell>
          <cell r="AO41">
            <v>42705</v>
          </cell>
          <cell r="AP41">
            <v>41910</v>
          </cell>
          <cell r="AQ41">
            <v>41868</v>
          </cell>
          <cell r="AR41">
            <v>43333</v>
          </cell>
          <cell r="AS41">
            <v>45217</v>
          </cell>
          <cell r="AT41">
            <v>41868</v>
          </cell>
          <cell r="AU41">
            <v>45217</v>
          </cell>
          <cell r="AV41">
            <v>42747</v>
          </cell>
          <cell r="AW41">
            <v>45176</v>
          </cell>
          <cell r="AX41">
            <v>42705</v>
          </cell>
          <cell r="AY41">
            <v>41868</v>
          </cell>
          <cell r="AZ41">
            <v>42873</v>
          </cell>
          <cell r="BA41">
            <v>42705</v>
          </cell>
          <cell r="BB41">
            <v>42705</v>
          </cell>
          <cell r="BC41">
            <v>41868</v>
          </cell>
          <cell r="BD41">
            <v>45217</v>
          </cell>
          <cell r="BE41">
            <v>42705</v>
          </cell>
          <cell r="BF41">
            <v>42705</v>
          </cell>
          <cell r="BG41">
            <v>42622</v>
          </cell>
          <cell r="BH41">
            <v>46641</v>
          </cell>
          <cell r="BI41">
            <v>41701</v>
          </cell>
          <cell r="BJ41">
            <v>42705</v>
          </cell>
          <cell r="BK41">
            <v>42705</v>
          </cell>
          <cell r="BL41">
            <v>42454</v>
          </cell>
          <cell r="BM41">
            <v>42538</v>
          </cell>
          <cell r="BN41">
            <v>42705</v>
          </cell>
          <cell r="BO41">
            <v>41868</v>
          </cell>
          <cell r="BP41">
            <v>41910</v>
          </cell>
          <cell r="BQ41">
            <v>41868</v>
          </cell>
          <cell r="BR41">
            <v>42475</v>
          </cell>
          <cell r="BS41">
            <v>41910</v>
          </cell>
          <cell r="BT41">
            <v>41868</v>
          </cell>
          <cell r="BU41">
            <v>42705</v>
          </cell>
          <cell r="BV41">
            <v>41868</v>
          </cell>
          <cell r="BW41">
            <v>42705</v>
          </cell>
          <cell r="BX41">
            <v>42705</v>
          </cell>
          <cell r="BY41">
            <v>42705</v>
          </cell>
          <cell r="BZ41">
            <v>42998</v>
          </cell>
          <cell r="CA41">
            <v>42768</v>
          </cell>
          <cell r="CB41">
            <v>42538</v>
          </cell>
          <cell r="CC41">
            <v>42831</v>
          </cell>
          <cell r="CD41">
            <v>42496</v>
          </cell>
          <cell r="CE41">
            <v>42705</v>
          </cell>
          <cell r="CF41">
            <v>42705</v>
          </cell>
          <cell r="CG41">
            <v>41910</v>
          </cell>
          <cell r="CH41">
            <v>42705</v>
          </cell>
          <cell r="CI41">
            <v>42705</v>
          </cell>
          <cell r="CJ41">
            <v>42622</v>
          </cell>
          <cell r="CK41">
            <v>41910</v>
          </cell>
          <cell r="CL41">
            <v>41910</v>
          </cell>
          <cell r="CM41">
            <v>42705</v>
          </cell>
          <cell r="CN41">
            <v>42998</v>
          </cell>
          <cell r="CO41">
            <v>41910</v>
          </cell>
          <cell r="CP41">
            <v>45217</v>
          </cell>
          <cell r="CQ41">
            <v>44343</v>
          </cell>
          <cell r="CR41">
            <v>42705</v>
          </cell>
          <cell r="CS41">
            <v>41910</v>
          </cell>
          <cell r="CT41">
            <v>42705</v>
          </cell>
          <cell r="CU41">
            <v>42998</v>
          </cell>
          <cell r="CV41">
            <v>42705</v>
          </cell>
          <cell r="CW41">
            <v>42705</v>
          </cell>
          <cell r="CX41">
            <v>42705</v>
          </cell>
          <cell r="CY41">
            <v>42538</v>
          </cell>
          <cell r="CZ41">
            <v>42705</v>
          </cell>
          <cell r="DA41">
            <v>42705</v>
          </cell>
          <cell r="DB41">
            <v>42747</v>
          </cell>
          <cell r="DC41">
            <v>42705</v>
          </cell>
          <cell r="DD41">
            <v>42873</v>
          </cell>
          <cell r="DE41">
            <v>42705</v>
          </cell>
          <cell r="DF41">
            <v>42538</v>
          </cell>
          <cell r="DG41">
            <v>42747</v>
          </cell>
          <cell r="DH41">
            <v>41868</v>
          </cell>
          <cell r="DI41">
            <v>42998</v>
          </cell>
          <cell r="DJ41">
            <v>45176</v>
          </cell>
          <cell r="DK41">
            <v>41910</v>
          </cell>
          <cell r="DL41">
            <v>44924</v>
          </cell>
          <cell r="DM41">
            <v>42622</v>
          </cell>
          <cell r="DN41">
            <v>45217</v>
          </cell>
          <cell r="DO41">
            <v>42705</v>
          </cell>
          <cell r="DP41">
            <v>45217</v>
          </cell>
          <cell r="DQ41">
            <v>42743</v>
          </cell>
          <cell r="DR41">
            <v>42705</v>
          </cell>
          <cell r="DS41">
            <v>41868</v>
          </cell>
          <cell r="DT41">
            <v>42035</v>
          </cell>
          <cell r="DU41">
            <v>41910</v>
          </cell>
          <cell r="DV41">
            <v>41868</v>
          </cell>
          <cell r="DW41">
            <v>46850</v>
          </cell>
          <cell r="DX41">
            <v>42622</v>
          </cell>
          <cell r="DY41">
            <v>41868</v>
          </cell>
          <cell r="DZ41">
            <v>43124</v>
          </cell>
          <cell r="EA41">
            <v>41910</v>
          </cell>
          <cell r="EB41">
            <v>41910</v>
          </cell>
          <cell r="EC41">
            <v>42622</v>
          </cell>
          <cell r="ED41">
            <v>42705</v>
          </cell>
          <cell r="EE41">
            <v>41910</v>
          </cell>
          <cell r="EF41">
            <v>41994</v>
          </cell>
          <cell r="EG41">
            <v>42705</v>
          </cell>
          <cell r="EH41">
            <v>42538</v>
          </cell>
          <cell r="EI41">
            <v>42705</v>
          </cell>
          <cell r="EJ41">
            <v>42705</v>
          </cell>
          <cell r="EK41">
            <v>42705</v>
          </cell>
          <cell r="EL41">
            <v>42705</v>
          </cell>
          <cell r="EM41">
            <v>42705</v>
          </cell>
        </row>
        <row r="42">
          <cell r="D42" t="str">
            <v>x</v>
          </cell>
          <cell r="E42">
            <v>36600</v>
          </cell>
          <cell r="F42">
            <v>37000</v>
          </cell>
          <cell r="G42" t="str">
            <v>x</v>
          </cell>
          <cell r="H42" t="str">
            <v>x</v>
          </cell>
          <cell r="I42" t="str">
            <v>x</v>
          </cell>
          <cell r="J42" t="str">
            <v>x</v>
          </cell>
          <cell r="K42" t="str">
            <v>x</v>
          </cell>
          <cell r="L42">
            <v>37100</v>
          </cell>
          <cell r="M42" t="str">
            <v>x</v>
          </cell>
          <cell r="N42" t="str">
            <v>x</v>
          </cell>
          <cell r="O42" t="str">
            <v>x</v>
          </cell>
          <cell r="P42">
            <v>36364</v>
          </cell>
          <cell r="Q42" t="str">
            <v>x</v>
          </cell>
          <cell r="R42" t="str">
            <v>x</v>
          </cell>
          <cell r="S42" t="str">
            <v>x</v>
          </cell>
          <cell r="T42" t="str">
            <v>x</v>
          </cell>
          <cell r="U42" t="str">
            <v>x</v>
          </cell>
          <cell r="V42">
            <v>36759</v>
          </cell>
          <cell r="W42" t="str">
            <v>x</v>
          </cell>
          <cell r="X42" t="str">
            <v>x</v>
          </cell>
          <cell r="Y42" t="str">
            <v>x</v>
          </cell>
          <cell r="Z42" t="str">
            <v>x</v>
          </cell>
          <cell r="AA42" t="str">
            <v>x</v>
          </cell>
          <cell r="AB42" t="str">
            <v>x</v>
          </cell>
          <cell r="AC42">
            <v>33404</v>
          </cell>
          <cell r="AD42" t="str">
            <v>x</v>
          </cell>
          <cell r="AE42" t="str">
            <v>x</v>
          </cell>
          <cell r="AF42" t="str">
            <v>x</v>
          </cell>
          <cell r="AG42">
            <v>21583</v>
          </cell>
          <cell r="AH42">
            <v>36800</v>
          </cell>
          <cell r="AI42">
            <v>36800</v>
          </cell>
          <cell r="AJ42">
            <v>36800</v>
          </cell>
          <cell r="AK42">
            <v>36800</v>
          </cell>
          <cell r="AL42">
            <v>36800</v>
          </cell>
          <cell r="AM42">
            <v>36800</v>
          </cell>
          <cell r="AN42">
            <v>36800</v>
          </cell>
          <cell r="AO42">
            <v>36800</v>
          </cell>
          <cell r="AP42">
            <v>36800</v>
          </cell>
          <cell r="AQ42">
            <v>36800</v>
          </cell>
          <cell r="AR42">
            <v>36800</v>
          </cell>
          <cell r="AS42">
            <v>36800</v>
          </cell>
          <cell r="AT42">
            <v>36800</v>
          </cell>
          <cell r="AU42">
            <v>27214</v>
          </cell>
          <cell r="AV42">
            <v>36800</v>
          </cell>
          <cell r="AW42">
            <v>36800</v>
          </cell>
          <cell r="AX42">
            <v>36800</v>
          </cell>
          <cell r="AY42">
            <v>36800</v>
          </cell>
          <cell r="AZ42">
            <v>36800</v>
          </cell>
          <cell r="BA42">
            <v>36800</v>
          </cell>
          <cell r="BB42">
            <v>36800</v>
          </cell>
          <cell r="BC42">
            <v>36800</v>
          </cell>
          <cell r="BD42">
            <v>36800</v>
          </cell>
          <cell r="BE42">
            <v>36800</v>
          </cell>
          <cell r="BF42">
            <v>36800</v>
          </cell>
          <cell r="BG42">
            <v>36800</v>
          </cell>
          <cell r="BH42">
            <v>36800</v>
          </cell>
          <cell r="BI42">
            <v>36800</v>
          </cell>
          <cell r="BJ42">
            <v>36800</v>
          </cell>
          <cell r="BK42">
            <v>36800</v>
          </cell>
          <cell r="BL42">
            <v>36800</v>
          </cell>
          <cell r="BM42">
            <v>36800</v>
          </cell>
          <cell r="BN42">
            <v>36800</v>
          </cell>
          <cell r="BO42">
            <v>36800</v>
          </cell>
          <cell r="BP42">
            <v>36800</v>
          </cell>
          <cell r="BQ42">
            <v>36800</v>
          </cell>
          <cell r="BR42">
            <v>36800</v>
          </cell>
          <cell r="BS42">
            <v>36800</v>
          </cell>
          <cell r="BT42">
            <v>36800</v>
          </cell>
          <cell r="BU42">
            <v>36800</v>
          </cell>
          <cell r="BV42">
            <v>36800</v>
          </cell>
          <cell r="BW42">
            <v>36800</v>
          </cell>
          <cell r="BX42">
            <v>36800</v>
          </cell>
          <cell r="BY42">
            <v>36800</v>
          </cell>
          <cell r="BZ42">
            <v>36800</v>
          </cell>
          <cell r="CA42">
            <v>36800</v>
          </cell>
          <cell r="CB42">
            <v>36800</v>
          </cell>
          <cell r="CC42">
            <v>36800</v>
          </cell>
          <cell r="CD42">
            <v>36800</v>
          </cell>
          <cell r="CE42">
            <v>36800</v>
          </cell>
          <cell r="CF42">
            <v>36800</v>
          </cell>
          <cell r="CG42">
            <v>36800</v>
          </cell>
          <cell r="CH42">
            <v>36800</v>
          </cell>
          <cell r="CI42">
            <v>36800</v>
          </cell>
          <cell r="CJ42">
            <v>36800</v>
          </cell>
          <cell r="CK42">
            <v>36800</v>
          </cell>
          <cell r="CL42">
            <v>36800</v>
          </cell>
          <cell r="CM42">
            <v>36800</v>
          </cell>
          <cell r="CN42">
            <v>36800</v>
          </cell>
          <cell r="CO42">
            <v>36800</v>
          </cell>
          <cell r="CP42">
            <v>36800</v>
          </cell>
          <cell r="CQ42">
            <v>36800</v>
          </cell>
          <cell r="CR42">
            <v>36800</v>
          </cell>
          <cell r="CS42">
            <v>36800</v>
          </cell>
          <cell r="CT42">
            <v>36800</v>
          </cell>
          <cell r="CU42">
            <v>36800</v>
          </cell>
          <cell r="CV42">
            <v>36800</v>
          </cell>
          <cell r="CW42">
            <v>36800</v>
          </cell>
          <cell r="CX42">
            <v>36800</v>
          </cell>
          <cell r="CY42">
            <v>36800</v>
          </cell>
          <cell r="CZ42">
            <v>36800</v>
          </cell>
          <cell r="DA42">
            <v>36800</v>
          </cell>
          <cell r="DB42">
            <v>36800</v>
          </cell>
          <cell r="DC42">
            <v>36800</v>
          </cell>
          <cell r="DD42">
            <v>36800</v>
          </cell>
          <cell r="DE42">
            <v>36800</v>
          </cell>
          <cell r="DF42">
            <v>36800</v>
          </cell>
          <cell r="DG42">
            <v>36800</v>
          </cell>
          <cell r="DH42">
            <v>36800</v>
          </cell>
          <cell r="DI42">
            <v>36800</v>
          </cell>
          <cell r="DJ42">
            <v>36800</v>
          </cell>
          <cell r="DK42">
            <v>36800</v>
          </cell>
          <cell r="DL42">
            <v>36800</v>
          </cell>
          <cell r="DM42">
            <v>36800</v>
          </cell>
          <cell r="DN42">
            <v>36800</v>
          </cell>
          <cell r="DO42">
            <v>36800</v>
          </cell>
          <cell r="DP42">
            <v>36800</v>
          </cell>
          <cell r="DQ42">
            <v>36800</v>
          </cell>
          <cell r="DR42">
            <v>36800</v>
          </cell>
          <cell r="DS42">
            <v>36800</v>
          </cell>
          <cell r="DT42">
            <v>36800</v>
          </cell>
          <cell r="DU42">
            <v>36800</v>
          </cell>
          <cell r="DV42">
            <v>36800</v>
          </cell>
          <cell r="DW42">
            <v>36800</v>
          </cell>
          <cell r="DX42">
            <v>36800</v>
          </cell>
          <cell r="DY42">
            <v>36800</v>
          </cell>
          <cell r="DZ42">
            <v>36800</v>
          </cell>
          <cell r="EA42">
            <v>36800</v>
          </cell>
          <cell r="EB42">
            <v>36800</v>
          </cell>
          <cell r="EC42">
            <v>36800</v>
          </cell>
          <cell r="ED42">
            <v>36800</v>
          </cell>
          <cell r="EE42">
            <v>36800</v>
          </cell>
          <cell r="EF42">
            <v>36800</v>
          </cell>
          <cell r="EG42">
            <v>36800</v>
          </cell>
          <cell r="EH42">
            <v>36800</v>
          </cell>
          <cell r="EI42">
            <v>36800</v>
          </cell>
          <cell r="EJ42">
            <v>36800</v>
          </cell>
          <cell r="EK42">
            <v>36800</v>
          </cell>
          <cell r="EL42">
            <v>36800</v>
          </cell>
          <cell r="EM42">
            <v>36800</v>
          </cell>
        </row>
        <row r="43">
          <cell r="D43">
            <v>47700</v>
          </cell>
          <cell r="E43">
            <v>46000</v>
          </cell>
          <cell r="F43">
            <v>46000</v>
          </cell>
          <cell r="G43">
            <v>47300</v>
          </cell>
          <cell r="H43">
            <v>46000</v>
          </cell>
          <cell r="I43">
            <v>46000</v>
          </cell>
          <cell r="J43">
            <v>46000</v>
          </cell>
          <cell r="K43">
            <v>46000</v>
          </cell>
          <cell r="L43">
            <v>46000</v>
          </cell>
          <cell r="M43">
            <v>46000</v>
          </cell>
          <cell r="N43">
            <v>46000</v>
          </cell>
          <cell r="O43">
            <v>46000</v>
          </cell>
          <cell r="P43">
            <v>46000</v>
          </cell>
          <cell r="Q43">
            <v>46000</v>
          </cell>
          <cell r="R43">
            <v>47700</v>
          </cell>
          <cell r="S43">
            <v>47700</v>
          </cell>
          <cell r="T43">
            <v>46000</v>
          </cell>
          <cell r="U43">
            <v>47300</v>
          </cell>
          <cell r="V43">
            <v>46000</v>
          </cell>
          <cell r="W43">
            <v>47700</v>
          </cell>
          <cell r="X43">
            <v>46000</v>
          </cell>
          <cell r="Y43">
            <v>46000</v>
          </cell>
          <cell r="Z43">
            <v>46000</v>
          </cell>
          <cell r="AA43">
            <v>46000</v>
          </cell>
          <cell r="AB43">
            <v>46000</v>
          </cell>
          <cell r="AC43">
            <v>46000</v>
          </cell>
          <cell r="AD43">
            <v>46000</v>
          </cell>
          <cell r="AE43">
            <v>46000</v>
          </cell>
          <cell r="AF43">
            <v>46000</v>
          </cell>
          <cell r="AG43">
            <v>47300</v>
          </cell>
          <cell r="AH43">
            <v>46000</v>
          </cell>
          <cell r="AI43">
            <v>49404</v>
          </cell>
          <cell r="AJ43">
            <v>47300</v>
          </cell>
          <cell r="AK43">
            <v>46055</v>
          </cell>
          <cell r="AL43">
            <v>46000</v>
          </cell>
          <cell r="AM43">
            <v>46000</v>
          </cell>
          <cell r="AN43">
            <v>47300</v>
          </cell>
          <cell r="AO43">
            <v>47300</v>
          </cell>
          <cell r="AP43">
            <v>46000</v>
          </cell>
          <cell r="AQ43">
            <v>47300</v>
          </cell>
          <cell r="AR43">
            <v>47300</v>
          </cell>
          <cell r="AS43">
            <v>46000</v>
          </cell>
          <cell r="AT43">
            <v>47300</v>
          </cell>
          <cell r="AU43">
            <v>46725</v>
          </cell>
          <cell r="AV43">
            <v>47300</v>
          </cell>
          <cell r="AW43">
            <v>46000</v>
          </cell>
          <cell r="AX43">
            <v>47300</v>
          </cell>
          <cell r="AY43">
            <v>47300</v>
          </cell>
          <cell r="AZ43">
            <v>47300</v>
          </cell>
          <cell r="BA43">
            <v>50242</v>
          </cell>
          <cell r="BB43">
            <v>47300</v>
          </cell>
          <cell r="BC43">
            <v>46139</v>
          </cell>
          <cell r="BD43">
            <v>47300</v>
          </cell>
          <cell r="BE43">
            <v>47300</v>
          </cell>
          <cell r="BF43">
            <v>47300</v>
          </cell>
          <cell r="BG43">
            <v>47300</v>
          </cell>
          <cell r="BH43">
            <v>46000</v>
          </cell>
          <cell r="BI43">
            <v>47300</v>
          </cell>
          <cell r="BJ43">
            <v>46000</v>
          </cell>
          <cell r="BK43">
            <v>47300</v>
          </cell>
          <cell r="BL43">
            <v>47300</v>
          </cell>
          <cell r="BM43">
            <v>47300</v>
          </cell>
          <cell r="BN43">
            <v>47300</v>
          </cell>
          <cell r="BO43">
            <v>47300</v>
          </cell>
          <cell r="BP43">
            <v>46000</v>
          </cell>
          <cell r="BQ43">
            <v>47300</v>
          </cell>
          <cell r="BR43">
            <v>47300</v>
          </cell>
          <cell r="BS43">
            <v>46000</v>
          </cell>
          <cell r="BT43">
            <v>47300</v>
          </cell>
          <cell r="BU43">
            <v>46000</v>
          </cell>
          <cell r="BV43">
            <v>47300</v>
          </cell>
          <cell r="BW43">
            <v>47300</v>
          </cell>
          <cell r="BX43">
            <v>47300</v>
          </cell>
          <cell r="BY43">
            <v>47300</v>
          </cell>
          <cell r="BZ43">
            <v>47300</v>
          </cell>
          <cell r="CA43">
            <v>47300</v>
          </cell>
          <cell r="CB43">
            <v>47300</v>
          </cell>
          <cell r="CC43">
            <v>47300</v>
          </cell>
          <cell r="CD43">
            <v>47300</v>
          </cell>
          <cell r="CE43">
            <v>47300</v>
          </cell>
          <cell r="CF43">
            <v>46557</v>
          </cell>
          <cell r="CG43">
            <v>46000</v>
          </cell>
          <cell r="CH43">
            <v>47300</v>
          </cell>
          <cell r="CI43">
            <v>47300</v>
          </cell>
          <cell r="CJ43">
            <v>47300</v>
          </cell>
          <cell r="CK43">
            <v>46000</v>
          </cell>
          <cell r="CL43">
            <v>46000</v>
          </cell>
          <cell r="CM43">
            <v>47300</v>
          </cell>
          <cell r="CN43">
            <v>47300</v>
          </cell>
          <cell r="CO43">
            <v>46000</v>
          </cell>
          <cell r="CP43">
            <v>46000</v>
          </cell>
          <cell r="CQ43">
            <v>45575</v>
          </cell>
          <cell r="CR43">
            <v>46000</v>
          </cell>
          <cell r="CS43">
            <v>46000</v>
          </cell>
          <cell r="CT43">
            <v>47300</v>
          </cell>
          <cell r="CU43">
            <v>47300</v>
          </cell>
          <cell r="CV43">
            <v>45594</v>
          </cell>
          <cell r="CW43">
            <v>47300</v>
          </cell>
          <cell r="CX43">
            <v>47300</v>
          </cell>
          <cell r="CY43">
            <v>49195</v>
          </cell>
          <cell r="CZ43">
            <v>47300</v>
          </cell>
          <cell r="DA43">
            <v>47018</v>
          </cell>
          <cell r="DB43">
            <v>47300</v>
          </cell>
          <cell r="DC43">
            <v>47300</v>
          </cell>
          <cell r="DD43">
            <v>45427</v>
          </cell>
          <cell r="DE43">
            <v>47300</v>
          </cell>
          <cell r="DF43">
            <v>45845</v>
          </cell>
          <cell r="DG43">
            <v>47300</v>
          </cell>
          <cell r="DH43">
            <v>47300</v>
          </cell>
          <cell r="DI43">
            <v>47300</v>
          </cell>
          <cell r="DJ43">
            <v>46000</v>
          </cell>
          <cell r="DK43">
            <v>46000</v>
          </cell>
          <cell r="DL43">
            <v>47300</v>
          </cell>
          <cell r="DM43">
            <v>47300</v>
          </cell>
          <cell r="DN43">
            <v>46000</v>
          </cell>
          <cell r="DO43">
            <v>47300</v>
          </cell>
          <cell r="DP43">
            <v>46000</v>
          </cell>
          <cell r="DQ43">
            <v>46767</v>
          </cell>
          <cell r="DR43">
            <v>44380</v>
          </cell>
          <cell r="DS43">
            <v>47300</v>
          </cell>
          <cell r="DT43">
            <v>47300</v>
          </cell>
          <cell r="DU43">
            <v>46000</v>
          </cell>
          <cell r="DV43">
            <v>47300</v>
          </cell>
          <cell r="DW43">
            <v>50242</v>
          </cell>
          <cell r="DX43">
            <v>47300</v>
          </cell>
          <cell r="DY43">
            <v>47300</v>
          </cell>
          <cell r="DZ43">
            <v>46306</v>
          </cell>
          <cell r="EA43">
            <v>46000</v>
          </cell>
          <cell r="EB43">
            <v>46000</v>
          </cell>
          <cell r="EC43">
            <v>47300</v>
          </cell>
          <cell r="ED43">
            <v>46055</v>
          </cell>
          <cell r="EE43">
            <v>46000</v>
          </cell>
          <cell r="EF43">
            <v>49271</v>
          </cell>
          <cell r="EG43">
            <v>45552</v>
          </cell>
          <cell r="EH43">
            <v>47300</v>
          </cell>
          <cell r="EI43">
            <v>45421</v>
          </cell>
          <cell r="EJ43">
            <v>47300</v>
          </cell>
          <cell r="EK43">
            <v>47300</v>
          </cell>
          <cell r="EL43">
            <v>47300</v>
          </cell>
          <cell r="EM43">
            <v>47300</v>
          </cell>
        </row>
        <row r="44">
          <cell r="D44">
            <v>44600</v>
          </cell>
          <cell r="E44" t="str">
            <v>x</v>
          </cell>
          <cell r="F44">
            <v>44000</v>
          </cell>
          <cell r="G44">
            <v>44800</v>
          </cell>
          <cell r="H44">
            <v>44000</v>
          </cell>
          <cell r="I44">
            <v>44000</v>
          </cell>
          <cell r="J44">
            <v>44000</v>
          </cell>
          <cell r="K44">
            <v>44000</v>
          </cell>
          <cell r="L44">
            <v>44000</v>
          </cell>
          <cell r="M44" t="str">
            <v>x</v>
          </cell>
          <cell r="N44">
            <v>44000</v>
          </cell>
          <cell r="O44">
            <v>44000</v>
          </cell>
          <cell r="P44">
            <v>44000</v>
          </cell>
          <cell r="Q44">
            <v>44000</v>
          </cell>
          <cell r="R44">
            <v>44600</v>
          </cell>
          <cell r="S44" t="str">
            <v>x</v>
          </cell>
          <cell r="T44" t="str">
            <v>x</v>
          </cell>
          <cell r="U44">
            <v>44800</v>
          </cell>
          <cell r="V44">
            <v>44000</v>
          </cell>
          <cell r="W44">
            <v>44600</v>
          </cell>
          <cell r="X44">
            <v>44000</v>
          </cell>
          <cell r="Y44">
            <v>44000</v>
          </cell>
          <cell r="Z44">
            <v>44000</v>
          </cell>
          <cell r="AA44">
            <v>44000</v>
          </cell>
          <cell r="AB44">
            <v>44000</v>
          </cell>
          <cell r="AC44">
            <v>44000</v>
          </cell>
          <cell r="AD44">
            <v>44000</v>
          </cell>
          <cell r="AE44" t="str">
            <v>x</v>
          </cell>
          <cell r="AF44">
            <v>44000</v>
          </cell>
          <cell r="AG44">
            <v>44800</v>
          </cell>
          <cell r="AH44">
            <v>44000</v>
          </cell>
          <cell r="AI44">
            <v>44800</v>
          </cell>
          <cell r="AJ44">
            <v>44800</v>
          </cell>
          <cell r="AK44">
            <v>43543</v>
          </cell>
          <cell r="AL44">
            <v>44000</v>
          </cell>
          <cell r="AM44">
            <v>44000</v>
          </cell>
          <cell r="AN44">
            <v>44800</v>
          </cell>
          <cell r="AO44">
            <v>44800</v>
          </cell>
          <cell r="AP44">
            <v>44000</v>
          </cell>
          <cell r="AQ44">
            <v>44800</v>
          </cell>
          <cell r="AR44">
            <v>44800</v>
          </cell>
          <cell r="AS44">
            <v>44000</v>
          </cell>
          <cell r="AT44">
            <v>44800</v>
          </cell>
          <cell r="AU44">
            <v>44882</v>
          </cell>
          <cell r="AV44">
            <v>44800</v>
          </cell>
          <cell r="AW44">
            <v>44000</v>
          </cell>
          <cell r="AX44">
            <v>44800</v>
          </cell>
          <cell r="AY44">
            <v>44800</v>
          </cell>
          <cell r="AZ44">
            <v>44800</v>
          </cell>
          <cell r="BA44">
            <v>43124</v>
          </cell>
          <cell r="BB44">
            <v>44800</v>
          </cell>
          <cell r="BC44">
            <v>44800</v>
          </cell>
          <cell r="BD44">
            <v>44800</v>
          </cell>
          <cell r="BE44">
            <v>44800</v>
          </cell>
          <cell r="BF44">
            <v>44800</v>
          </cell>
          <cell r="BG44">
            <v>44800</v>
          </cell>
          <cell r="BH44">
            <v>44000</v>
          </cell>
          <cell r="BI44">
            <v>44800</v>
          </cell>
          <cell r="BJ44">
            <v>44000</v>
          </cell>
          <cell r="BK44">
            <v>44800</v>
          </cell>
          <cell r="BL44">
            <v>44800</v>
          </cell>
          <cell r="BM44">
            <v>44800</v>
          </cell>
          <cell r="BN44">
            <v>44800</v>
          </cell>
          <cell r="BO44">
            <v>44800</v>
          </cell>
          <cell r="BP44">
            <v>44000</v>
          </cell>
          <cell r="BQ44">
            <v>44800</v>
          </cell>
          <cell r="BR44">
            <v>44800</v>
          </cell>
          <cell r="BS44">
            <v>44000</v>
          </cell>
          <cell r="BT44">
            <v>44800</v>
          </cell>
          <cell r="BU44">
            <v>44000</v>
          </cell>
          <cell r="BV44">
            <v>44800</v>
          </cell>
          <cell r="BW44">
            <v>44800</v>
          </cell>
          <cell r="BX44">
            <v>44800</v>
          </cell>
          <cell r="BY44">
            <v>44800</v>
          </cell>
          <cell r="BZ44">
            <v>44800</v>
          </cell>
          <cell r="CA44">
            <v>44800</v>
          </cell>
          <cell r="CB44">
            <v>44800</v>
          </cell>
          <cell r="CC44">
            <v>44800</v>
          </cell>
          <cell r="CD44">
            <v>44800</v>
          </cell>
          <cell r="CE44">
            <v>44800</v>
          </cell>
          <cell r="CF44">
            <v>43543</v>
          </cell>
          <cell r="CG44">
            <v>44000</v>
          </cell>
          <cell r="CH44">
            <v>44800</v>
          </cell>
          <cell r="CI44">
            <v>44800</v>
          </cell>
          <cell r="CJ44">
            <v>44800</v>
          </cell>
          <cell r="CK44">
            <v>44000</v>
          </cell>
          <cell r="CL44">
            <v>44000</v>
          </cell>
          <cell r="CM44">
            <v>44800</v>
          </cell>
          <cell r="CN44">
            <v>44800</v>
          </cell>
          <cell r="CO44">
            <v>44000</v>
          </cell>
          <cell r="CP44">
            <v>44000</v>
          </cell>
          <cell r="CQ44">
            <v>43961</v>
          </cell>
          <cell r="CR44">
            <v>44000</v>
          </cell>
          <cell r="CS44">
            <v>44000</v>
          </cell>
          <cell r="CT44">
            <v>44800</v>
          </cell>
          <cell r="CU44">
            <v>44800</v>
          </cell>
          <cell r="CV44">
            <v>44800</v>
          </cell>
          <cell r="CW44">
            <v>44800</v>
          </cell>
          <cell r="CX44">
            <v>51498</v>
          </cell>
          <cell r="CY44">
            <v>44800</v>
          </cell>
          <cell r="CZ44">
            <v>44800</v>
          </cell>
          <cell r="DA44">
            <v>44800</v>
          </cell>
          <cell r="DB44">
            <v>44800</v>
          </cell>
          <cell r="DC44">
            <v>44800</v>
          </cell>
          <cell r="DD44">
            <v>43752</v>
          </cell>
          <cell r="DE44">
            <v>44800</v>
          </cell>
          <cell r="DF44">
            <v>44800</v>
          </cell>
          <cell r="DG44">
            <v>44800</v>
          </cell>
          <cell r="DH44">
            <v>44800</v>
          </cell>
          <cell r="DI44">
            <v>44800</v>
          </cell>
          <cell r="DJ44">
            <v>44000</v>
          </cell>
          <cell r="DK44">
            <v>44000</v>
          </cell>
          <cell r="DL44">
            <v>44800</v>
          </cell>
          <cell r="DM44">
            <v>44800</v>
          </cell>
          <cell r="DN44">
            <v>44000</v>
          </cell>
          <cell r="DO44">
            <v>44800</v>
          </cell>
          <cell r="DP44">
            <v>44000</v>
          </cell>
          <cell r="DQ44">
            <v>45552</v>
          </cell>
          <cell r="DR44">
            <v>45636</v>
          </cell>
          <cell r="DS44">
            <v>44800</v>
          </cell>
          <cell r="DT44">
            <v>44800</v>
          </cell>
          <cell r="DU44">
            <v>44000</v>
          </cell>
          <cell r="DV44">
            <v>44800</v>
          </cell>
          <cell r="DW44">
            <v>44800</v>
          </cell>
          <cell r="DX44">
            <v>44800</v>
          </cell>
          <cell r="DY44">
            <v>44800</v>
          </cell>
          <cell r="DZ44">
            <v>43878</v>
          </cell>
          <cell r="EA44">
            <v>44000</v>
          </cell>
          <cell r="EB44">
            <v>44000</v>
          </cell>
          <cell r="EC44">
            <v>44800</v>
          </cell>
          <cell r="ED44">
            <v>44162</v>
          </cell>
          <cell r="EE44">
            <v>44000</v>
          </cell>
          <cell r="EF44">
            <v>47107</v>
          </cell>
          <cell r="EG44">
            <v>44800</v>
          </cell>
          <cell r="EH44">
            <v>44800</v>
          </cell>
          <cell r="EI44">
            <v>44800</v>
          </cell>
          <cell r="EJ44">
            <v>44800</v>
          </cell>
          <cell r="EK44">
            <v>44800</v>
          </cell>
          <cell r="EL44">
            <v>44800</v>
          </cell>
          <cell r="EM44">
            <v>44800</v>
          </cell>
        </row>
        <row r="45">
          <cell r="D45">
            <v>44500</v>
          </cell>
          <cell r="E45">
            <v>43000</v>
          </cell>
          <cell r="F45">
            <v>43000</v>
          </cell>
          <cell r="G45">
            <v>44600</v>
          </cell>
          <cell r="H45">
            <v>43000</v>
          </cell>
          <cell r="I45">
            <v>43000</v>
          </cell>
          <cell r="J45">
            <v>43000</v>
          </cell>
          <cell r="K45">
            <v>43000</v>
          </cell>
          <cell r="L45">
            <v>43000</v>
          </cell>
          <cell r="M45">
            <v>43000</v>
          </cell>
          <cell r="N45">
            <v>43000</v>
          </cell>
          <cell r="O45">
            <v>43000</v>
          </cell>
          <cell r="P45">
            <v>43000</v>
          </cell>
          <cell r="Q45">
            <v>43000</v>
          </cell>
          <cell r="R45">
            <v>44500</v>
          </cell>
          <cell r="S45">
            <v>44500</v>
          </cell>
          <cell r="T45">
            <v>43000</v>
          </cell>
          <cell r="U45">
            <v>44600</v>
          </cell>
          <cell r="V45">
            <v>43000</v>
          </cell>
          <cell r="W45">
            <v>44500</v>
          </cell>
          <cell r="X45">
            <v>43000</v>
          </cell>
          <cell r="Y45">
            <v>43000</v>
          </cell>
          <cell r="Z45">
            <v>43000</v>
          </cell>
          <cell r="AA45">
            <v>43000</v>
          </cell>
          <cell r="AB45">
            <v>43000</v>
          </cell>
          <cell r="AC45">
            <v>43000</v>
          </cell>
          <cell r="AD45">
            <v>43000</v>
          </cell>
          <cell r="AE45">
            <v>43000</v>
          </cell>
          <cell r="AF45">
            <v>43000</v>
          </cell>
          <cell r="AG45">
            <v>44600</v>
          </cell>
          <cell r="AH45">
            <v>43000</v>
          </cell>
          <cell r="AI45">
            <v>44600</v>
          </cell>
          <cell r="AJ45">
            <v>44600</v>
          </cell>
          <cell r="AK45">
            <v>43124</v>
          </cell>
          <cell r="AL45">
            <v>43000</v>
          </cell>
          <cell r="AM45">
            <v>43000</v>
          </cell>
          <cell r="AN45">
            <v>44600</v>
          </cell>
          <cell r="AO45">
            <v>44600</v>
          </cell>
          <cell r="AP45">
            <v>43000</v>
          </cell>
          <cell r="AQ45">
            <v>44600</v>
          </cell>
          <cell r="AR45">
            <v>44600</v>
          </cell>
          <cell r="AS45">
            <v>43000</v>
          </cell>
          <cell r="AT45">
            <v>44600</v>
          </cell>
          <cell r="AU45">
            <v>44171</v>
          </cell>
          <cell r="AV45">
            <v>44600</v>
          </cell>
          <cell r="AW45">
            <v>43000</v>
          </cell>
          <cell r="AX45">
            <v>44600</v>
          </cell>
          <cell r="AY45">
            <v>44600</v>
          </cell>
          <cell r="AZ45">
            <v>44600</v>
          </cell>
          <cell r="BA45">
            <v>43124</v>
          </cell>
          <cell r="BB45">
            <v>44600</v>
          </cell>
          <cell r="BC45">
            <v>44158</v>
          </cell>
          <cell r="BD45">
            <v>44600</v>
          </cell>
          <cell r="BE45">
            <v>44600</v>
          </cell>
          <cell r="BF45">
            <v>44600</v>
          </cell>
          <cell r="BG45">
            <v>44600</v>
          </cell>
          <cell r="BH45">
            <v>43000</v>
          </cell>
          <cell r="BI45">
            <v>44600</v>
          </cell>
          <cell r="BJ45">
            <v>43000</v>
          </cell>
          <cell r="BK45">
            <v>44600</v>
          </cell>
          <cell r="BL45">
            <v>44600</v>
          </cell>
          <cell r="BM45">
            <v>44600</v>
          </cell>
          <cell r="BN45">
            <v>44600</v>
          </cell>
          <cell r="BO45">
            <v>44600</v>
          </cell>
          <cell r="BP45">
            <v>43000</v>
          </cell>
          <cell r="BQ45">
            <v>44600</v>
          </cell>
          <cell r="BR45">
            <v>44600</v>
          </cell>
          <cell r="BS45">
            <v>43000</v>
          </cell>
          <cell r="BT45">
            <v>44600</v>
          </cell>
          <cell r="BU45">
            <v>43000</v>
          </cell>
          <cell r="BV45">
            <v>44600</v>
          </cell>
          <cell r="BW45">
            <v>44600</v>
          </cell>
          <cell r="BX45">
            <v>44600</v>
          </cell>
          <cell r="BY45">
            <v>44600</v>
          </cell>
          <cell r="BZ45">
            <v>44600</v>
          </cell>
          <cell r="CA45">
            <v>44600</v>
          </cell>
          <cell r="CB45">
            <v>44600</v>
          </cell>
          <cell r="CC45">
            <v>44600</v>
          </cell>
          <cell r="CD45">
            <v>44600</v>
          </cell>
          <cell r="CE45">
            <v>44600</v>
          </cell>
          <cell r="CF45">
            <v>43585</v>
          </cell>
          <cell r="CG45">
            <v>43000</v>
          </cell>
          <cell r="CH45">
            <v>44600</v>
          </cell>
          <cell r="CI45">
            <v>44600</v>
          </cell>
          <cell r="CJ45">
            <v>44600</v>
          </cell>
          <cell r="CK45">
            <v>43000</v>
          </cell>
          <cell r="CL45">
            <v>43000</v>
          </cell>
          <cell r="CM45">
            <v>44673</v>
          </cell>
          <cell r="CN45">
            <v>44600</v>
          </cell>
          <cell r="CO45">
            <v>43000</v>
          </cell>
          <cell r="CP45">
            <v>43000</v>
          </cell>
          <cell r="CQ45">
            <v>43208</v>
          </cell>
          <cell r="CR45">
            <v>43000</v>
          </cell>
          <cell r="CS45">
            <v>43000</v>
          </cell>
          <cell r="CT45">
            <v>44600</v>
          </cell>
          <cell r="CU45">
            <v>44600</v>
          </cell>
          <cell r="CV45">
            <v>44600</v>
          </cell>
          <cell r="CW45">
            <v>44600</v>
          </cell>
          <cell r="CX45">
            <v>44213</v>
          </cell>
          <cell r="CY45">
            <v>46599</v>
          </cell>
          <cell r="CZ45">
            <v>44600</v>
          </cell>
          <cell r="DA45">
            <v>42915</v>
          </cell>
          <cell r="DB45">
            <v>44600</v>
          </cell>
          <cell r="DC45">
            <v>44600</v>
          </cell>
          <cell r="DD45">
            <v>43292</v>
          </cell>
          <cell r="DE45">
            <v>44600</v>
          </cell>
          <cell r="DF45">
            <v>40528</v>
          </cell>
          <cell r="DG45">
            <v>44600</v>
          </cell>
          <cell r="DH45">
            <v>44600</v>
          </cell>
          <cell r="DI45">
            <v>44600</v>
          </cell>
          <cell r="DJ45">
            <v>43000</v>
          </cell>
          <cell r="DK45">
            <v>43000</v>
          </cell>
          <cell r="DL45">
            <v>44600</v>
          </cell>
          <cell r="DM45">
            <v>43961</v>
          </cell>
          <cell r="DN45">
            <v>43000</v>
          </cell>
          <cell r="DO45">
            <v>44600</v>
          </cell>
          <cell r="DP45">
            <v>43000</v>
          </cell>
          <cell r="DQ45">
            <v>41073</v>
          </cell>
          <cell r="DR45">
            <v>43961</v>
          </cell>
          <cell r="DS45">
            <v>44600</v>
          </cell>
          <cell r="DT45">
            <v>44600</v>
          </cell>
          <cell r="DU45">
            <v>43000</v>
          </cell>
          <cell r="DV45">
            <v>44600</v>
          </cell>
          <cell r="DW45">
            <v>44600</v>
          </cell>
          <cell r="DX45">
            <v>44600</v>
          </cell>
          <cell r="DY45">
            <v>44600</v>
          </cell>
          <cell r="DZ45">
            <v>43333</v>
          </cell>
          <cell r="EA45">
            <v>43000</v>
          </cell>
          <cell r="EB45">
            <v>43000</v>
          </cell>
          <cell r="EC45">
            <v>44600</v>
          </cell>
          <cell r="ED45">
            <v>43528</v>
          </cell>
          <cell r="EE45">
            <v>43000</v>
          </cell>
          <cell r="EF45">
            <v>46092</v>
          </cell>
          <cell r="EG45">
            <v>43208</v>
          </cell>
          <cell r="EH45">
            <v>44600</v>
          </cell>
          <cell r="EI45">
            <v>43332</v>
          </cell>
          <cell r="EJ45">
            <v>44600</v>
          </cell>
          <cell r="EK45">
            <v>44600</v>
          </cell>
          <cell r="EL45">
            <v>44600</v>
          </cell>
          <cell r="EM45">
            <v>44600</v>
          </cell>
        </row>
        <row r="46">
          <cell r="D46">
            <v>47143.4</v>
          </cell>
          <cell r="E46">
            <v>47143.4</v>
          </cell>
          <cell r="F46">
            <v>47143.4</v>
          </cell>
          <cell r="G46">
            <v>47143.4</v>
          </cell>
          <cell r="H46">
            <v>47143.4</v>
          </cell>
          <cell r="I46">
            <v>47143.4</v>
          </cell>
          <cell r="J46">
            <v>47143.4</v>
          </cell>
          <cell r="K46">
            <v>47143.4</v>
          </cell>
          <cell r="L46">
            <v>47143.4</v>
          </cell>
          <cell r="M46">
            <v>47143.4</v>
          </cell>
          <cell r="N46">
            <v>47143.4</v>
          </cell>
          <cell r="O46">
            <v>47143.4</v>
          </cell>
          <cell r="P46">
            <v>47143.4</v>
          </cell>
          <cell r="Q46">
            <v>47143.4</v>
          </cell>
          <cell r="R46">
            <v>47143.4</v>
          </cell>
          <cell r="S46">
            <v>47143.4</v>
          </cell>
          <cell r="T46">
            <v>47143.4</v>
          </cell>
          <cell r="U46">
            <v>47143.4</v>
          </cell>
          <cell r="V46">
            <v>47143.4</v>
          </cell>
          <cell r="W46">
            <v>47143.4</v>
          </cell>
          <cell r="X46">
            <v>47143.4</v>
          </cell>
          <cell r="Y46">
            <v>47143.4</v>
          </cell>
          <cell r="Z46">
            <v>47143.4</v>
          </cell>
          <cell r="AA46">
            <v>47143.4</v>
          </cell>
          <cell r="AB46">
            <v>47143.4</v>
          </cell>
          <cell r="AC46">
            <v>47143.4</v>
          </cell>
          <cell r="AD46">
            <v>47143.4</v>
          </cell>
          <cell r="AE46">
            <v>47143.4</v>
          </cell>
          <cell r="AF46">
            <v>47143.4</v>
          </cell>
          <cell r="AG46">
            <v>47143.4</v>
          </cell>
          <cell r="AH46">
            <v>47143.4</v>
          </cell>
          <cell r="AI46">
            <v>47143.4</v>
          </cell>
          <cell r="AJ46">
            <v>47143.4</v>
          </cell>
          <cell r="AK46">
            <v>47143.4</v>
          </cell>
          <cell r="AL46">
            <v>47143.4</v>
          </cell>
          <cell r="AM46">
            <v>47143.4</v>
          </cell>
          <cell r="AN46">
            <v>47143.4</v>
          </cell>
          <cell r="AO46">
            <v>47143.4</v>
          </cell>
          <cell r="AP46">
            <v>47143.4</v>
          </cell>
          <cell r="AQ46">
            <v>47143.4</v>
          </cell>
          <cell r="AR46">
            <v>47143.4</v>
          </cell>
          <cell r="AS46">
            <v>47143.4</v>
          </cell>
          <cell r="AT46">
            <v>47143.4</v>
          </cell>
          <cell r="AU46">
            <v>47143.4</v>
          </cell>
          <cell r="AV46">
            <v>47143.4</v>
          </cell>
          <cell r="AW46">
            <v>47143.4</v>
          </cell>
          <cell r="AX46">
            <v>47143.4</v>
          </cell>
          <cell r="AY46">
            <v>47143.4</v>
          </cell>
          <cell r="AZ46">
            <v>47143.4</v>
          </cell>
          <cell r="BA46">
            <v>47143.4</v>
          </cell>
          <cell r="BB46">
            <v>47143.4</v>
          </cell>
          <cell r="BC46">
            <v>47143.4</v>
          </cell>
          <cell r="BD46">
            <v>47143.4</v>
          </cell>
          <cell r="BE46">
            <v>47143.4</v>
          </cell>
          <cell r="BF46">
            <v>47143.4</v>
          </cell>
          <cell r="BG46">
            <v>47143.4</v>
          </cell>
          <cell r="BH46">
            <v>47143.4</v>
          </cell>
          <cell r="BI46">
            <v>47143.4</v>
          </cell>
          <cell r="BJ46">
            <v>47143.4</v>
          </cell>
          <cell r="BK46">
            <v>47143.4</v>
          </cell>
          <cell r="BL46">
            <v>47143.4</v>
          </cell>
          <cell r="BM46">
            <v>47143.4</v>
          </cell>
          <cell r="BN46">
            <v>47143.4</v>
          </cell>
          <cell r="BO46">
            <v>47143.4</v>
          </cell>
          <cell r="BP46">
            <v>47143.4</v>
          </cell>
          <cell r="BQ46">
            <v>47143.4</v>
          </cell>
          <cell r="BR46">
            <v>47143.4</v>
          </cell>
          <cell r="BS46">
            <v>47143.4</v>
          </cell>
          <cell r="BT46">
            <v>47143.4</v>
          </cell>
          <cell r="BU46">
            <v>47143.4</v>
          </cell>
          <cell r="BV46">
            <v>47143.4</v>
          </cell>
          <cell r="BW46">
            <v>47143.4</v>
          </cell>
          <cell r="BX46">
            <v>47143.4</v>
          </cell>
          <cell r="BY46">
            <v>47143.4</v>
          </cell>
          <cell r="BZ46">
            <v>47143.4</v>
          </cell>
          <cell r="CA46">
            <v>47143.4</v>
          </cell>
          <cell r="CB46">
            <v>47143.4</v>
          </cell>
          <cell r="CC46">
            <v>47143.4</v>
          </cell>
          <cell r="CD46">
            <v>47143.4</v>
          </cell>
          <cell r="CE46">
            <v>47143.4</v>
          </cell>
          <cell r="CF46">
            <v>47143.4</v>
          </cell>
          <cell r="CG46">
            <v>47143.4</v>
          </cell>
          <cell r="CH46">
            <v>47143.4</v>
          </cell>
          <cell r="CI46">
            <v>47143.4</v>
          </cell>
          <cell r="CJ46">
            <v>47143.4</v>
          </cell>
          <cell r="CK46">
            <v>47143.4</v>
          </cell>
          <cell r="CL46">
            <v>47143.4</v>
          </cell>
          <cell r="CM46">
            <v>47143.4</v>
          </cell>
          <cell r="CN46">
            <v>47143.4</v>
          </cell>
          <cell r="CO46">
            <v>47143.4</v>
          </cell>
          <cell r="CP46">
            <v>47143.4</v>
          </cell>
          <cell r="CQ46">
            <v>47143.4</v>
          </cell>
          <cell r="CR46">
            <v>47143.4</v>
          </cell>
          <cell r="CS46">
            <v>47143.4</v>
          </cell>
          <cell r="CT46">
            <v>47143.4</v>
          </cell>
          <cell r="CU46">
            <v>47143.4</v>
          </cell>
          <cell r="CV46">
            <v>47143.4</v>
          </cell>
          <cell r="CW46">
            <v>47143.4</v>
          </cell>
          <cell r="CX46">
            <v>47143.4</v>
          </cell>
          <cell r="CY46">
            <v>47143.4</v>
          </cell>
          <cell r="CZ46">
            <v>47143.4</v>
          </cell>
          <cell r="DA46">
            <v>47143.4</v>
          </cell>
          <cell r="DB46">
            <v>47143.4</v>
          </cell>
          <cell r="DC46">
            <v>47143.4</v>
          </cell>
          <cell r="DD46">
            <v>47143.4</v>
          </cell>
          <cell r="DE46">
            <v>47143.4</v>
          </cell>
          <cell r="DF46">
            <v>47143.4</v>
          </cell>
          <cell r="DG46">
            <v>47143.4</v>
          </cell>
          <cell r="DH46">
            <v>47143.4</v>
          </cell>
          <cell r="DI46">
            <v>47143.4</v>
          </cell>
          <cell r="DJ46">
            <v>47143.4</v>
          </cell>
          <cell r="DK46">
            <v>47143.4</v>
          </cell>
          <cell r="DL46">
            <v>47143.4</v>
          </cell>
          <cell r="DM46">
            <v>47143.4</v>
          </cell>
          <cell r="DN46">
            <v>47143.4</v>
          </cell>
          <cell r="DO46">
            <v>47143.4</v>
          </cell>
          <cell r="DP46">
            <v>47143.4</v>
          </cell>
          <cell r="DQ46">
            <v>47143.4</v>
          </cell>
          <cell r="DR46">
            <v>47143.4</v>
          </cell>
          <cell r="DS46">
            <v>47143.4</v>
          </cell>
          <cell r="DT46">
            <v>47143.4</v>
          </cell>
          <cell r="DU46">
            <v>47143.4</v>
          </cell>
          <cell r="DV46">
            <v>47143.4</v>
          </cell>
          <cell r="DW46">
            <v>47143.4</v>
          </cell>
          <cell r="DX46">
            <v>47143.4</v>
          </cell>
          <cell r="DY46">
            <v>47143.4</v>
          </cell>
          <cell r="DZ46">
            <v>47143.4</v>
          </cell>
          <cell r="EA46">
            <v>47143.4</v>
          </cell>
          <cell r="EB46">
            <v>47143.4</v>
          </cell>
          <cell r="EC46">
            <v>47143.4</v>
          </cell>
          <cell r="ED46">
            <v>47143.4</v>
          </cell>
          <cell r="EE46">
            <v>47143.4</v>
          </cell>
          <cell r="EF46">
            <v>47143.4</v>
          </cell>
          <cell r="EG46">
            <v>47143.4</v>
          </cell>
          <cell r="EH46">
            <v>47143.4</v>
          </cell>
          <cell r="EI46">
            <v>47143.4</v>
          </cell>
          <cell r="EJ46">
            <v>47143.4</v>
          </cell>
          <cell r="EK46">
            <v>47143.4</v>
          </cell>
          <cell r="EL46">
            <v>47143.4</v>
          </cell>
          <cell r="EM46">
            <v>47143.4</v>
          </cell>
        </row>
        <row r="51">
          <cell r="C51" t="str">
            <v>World</v>
          </cell>
          <cell r="D51">
            <v>0.50485579999999997</v>
          </cell>
        </row>
        <row r="52">
          <cell r="C52" t="str">
            <v>OECD North America</v>
          </cell>
          <cell r="D52">
            <v>0.513069</v>
          </cell>
        </row>
        <row r="53">
          <cell r="C53" t="str">
            <v>OECD Pacific</v>
          </cell>
          <cell r="D53">
            <v>0.49541099999999999</v>
          </cell>
        </row>
        <row r="54">
          <cell r="C54" t="str">
            <v>OECD Europe</v>
          </cell>
          <cell r="D54">
            <v>0.33866099999999999</v>
          </cell>
        </row>
        <row r="55">
          <cell r="C55" t="str">
            <v>Africa</v>
          </cell>
          <cell r="D55">
            <v>0.64548800000000006</v>
          </cell>
        </row>
        <row r="56">
          <cell r="C56" t="str">
            <v>Latin America</v>
          </cell>
          <cell r="D56">
            <v>0.19358649999999999</v>
          </cell>
        </row>
        <row r="57">
          <cell r="C57" t="str">
            <v>Middle East</v>
          </cell>
          <cell r="D57">
            <v>0.67047370000000006</v>
          </cell>
        </row>
        <row r="58">
          <cell r="C58" t="str">
            <v>Non-OECD Europe</v>
          </cell>
          <cell r="D58">
            <v>0.4988224</v>
          </cell>
        </row>
        <row r="59">
          <cell r="C59" t="str">
            <v>Former USSR</v>
          </cell>
          <cell r="D59">
            <v>0.3406189</v>
          </cell>
        </row>
        <row r="60">
          <cell r="C60" t="str">
            <v>Asia (excluding China)</v>
          </cell>
          <cell r="D60">
            <v>0.7293463</v>
          </cell>
        </row>
        <row r="61">
          <cell r="C61" t="str">
            <v>Albania</v>
          </cell>
          <cell r="D61">
            <v>3.2440199999999995E-2</v>
          </cell>
        </row>
        <row r="62">
          <cell r="C62" t="str">
            <v>Algeria</v>
          </cell>
          <cell r="D62">
            <v>0.68811820000000001</v>
          </cell>
        </row>
        <row r="63">
          <cell r="C63" t="str">
            <v>Angola</v>
          </cell>
          <cell r="D63">
            <v>9.8200400000000007E-2</v>
          </cell>
        </row>
        <row r="64">
          <cell r="C64" t="str">
            <v>Argentina</v>
          </cell>
          <cell r="D64">
            <v>0.30336960000000002</v>
          </cell>
        </row>
        <row r="65">
          <cell r="C65" t="str">
            <v>Armenia</v>
          </cell>
          <cell r="D65">
            <v>0.13829089999999999</v>
          </cell>
        </row>
        <row r="66">
          <cell r="C66" t="str">
            <v>Australia</v>
          </cell>
          <cell r="D66">
            <v>0.9205270000000001</v>
          </cell>
        </row>
        <row r="67">
          <cell r="C67" t="str">
            <v>Austria</v>
          </cell>
          <cell r="D67">
            <v>0.21447099999999999</v>
          </cell>
        </row>
        <row r="68">
          <cell r="C68" t="str">
            <v>Azerbaijan</v>
          </cell>
          <cell r="D68">
            <v>0.47347519999999998</v>
          </cell>
        </row>
        <row r="69">
          <cell r="C69" t="str">
            <v>Bahrain</v>
          </cell>
          <cell r="D69">
            <v>0.82486369999999998</v>
          </cell>
        </row>
        <row r="70">
          <cell r="C70" t="str">
            <v>Bangladesh</v>
          </cell>
          <cell r="D70">
            <v>0.58433079999999993</v>
          </cell>
        </row>
        <row r="71">
          <cell r="C71" t="str">
            <v>Belarus</v>
          </cell>
          <cell r="D71">
            <v>0.2963771</v>
          </cell>
        </row>
        <row r="72">
          <cell r="C72" t="str">
            <v>Belgium</v>
          </cell>
          <cell r="D72">
            <v>0.26003599999999999</v>
          </cell>
        </row>
        <row r="73">
          <cell r="C73" t="str">
            <v>Benin</v>
          </cell>
          <cell r="D73">
            <v>0.69621259999999996</v>
          </cell>
        </row>
        <row r="74">
          <cell r="C74" t="str">
            <v>Bolivia</v>
          </cell>
          <cell r="D74">
            <v>0.5049688</v>
          </cell>
        </row>
        <row r="75">
          <cell r="C75" t="str">
            <v>Bosnia and Herzegovina</v>
          </cell>
          <cell r="D75">
            <v>0.80195799999999995</v>
          </cell>
        </row>
        <row r="76">
          <cell r="C76" t="str">
            <v>Botswana</v>
          </cell>
          <cell r="D76">
            <v>1.8514538999999999</v>
          </cell>
        </row>
        <row r="77">
          <cell r="C77" t="str">
            <v>Brazil</v>
          </cell>
          <cell r="D77">
            <v>8.1437599999999999E-2</v>
          </cell>
        </row>
        <row r="78">
          <cell r="C78" t="str">
            <v>Brunei Darussalam</v>
          </cell>
          <cell r="D78">
            <v>0.82100490000000004</v>
          </cell>
        </row>
        <row r="79">
          <cell r="C79" t="str">
            <v>Bulgaria</v>
          </cell>
          <cell r="D79">
            <v>0.44796179999999997</v>
          </cell>
        </row>
        <row r="80">
          <cell r="C80" t="str">
            <v>Cambodia</v>
          </cell>
          <cell r="D80">
            <v>1.0049344</v>
          </cell>
        </row>
        <row r="81">
          <cell r="C81" t="str">
            <v>Cameroon</v>
          </cell>
          <cell r="D81">
            <v>4.2535699999999996E-2</v>
          </cell>
        </row>
        <row r="82">
          <cell r="C82" t="str">
            <v>Canada</v>
          </cell>
          <cell r="D82">
            <v>0.18417900000000001</v>
          </cell>
        </row>
        <row r="83">
          <cell r="C83" t="str">
            <v>Chile</v>
          </cell>
          <cell r="D83">
            <v>0.29424250000000002</v>
          </cell>
        </row>
        <row r="84">
          <cell r="C84" t="str">
            <v>People's Republic of China</v>
          </cell>
          <cell r="D84">
            <v>0.7875875</v>
          </cell>
        </row>
        <row r="85">
          <cell r="C85" t="str">
            <v>Chinese Taipei</v>
          </cell>
          <cell r="D85">
            <v>0.65888190000000002</v>
          </cell>
        </row>
        <row r="86">
          <cell r="C86" t="str">
            <v>Colombia</v>
          </cell>
          <cell r="D86">
            <v>0.14961720000000001</v>
          </cell>
        </row>
        <row r="87">
          <cell r="C87" t="str">
            <v>Congo</v>
          </cell>
          <cell r="D87">
            <v>0.1023289</v>
          </cell>
        </row>
        <row r="88">
          <cell r="C88" t="str">
            <v>Democratic Republic of Congo</v>
          </cell>
          <cell r="D88">
            <v>2.7816E-3</v>
          </cell>
        </row>
        <row r="89">
          <cell r="C89" t="str">
            <v>Costa Rica</v>
          </cell>
          <cell r="D89">
            <v>4.7398499999999996E-2</v>
          </cell>
        </row>
        <row r="90">
          <cell r="C90" t="str">
            <v>Côte d'Ivoire</v>
          </cell>
          <cell r="D90">
            <v>0.43621719999999997</v>
          </cell>
        </row>
        <row r="91">
          <cell r="C91" t="str">
            <v>Croatia</v>
          </cell>
          <cell r="D91">
            <v>0.31839800000000001</v>
          </cell>
        </row>
        <row r="92">
          <cell r="C92" t="str">
            <v>Cuba</v>
          </cell>
          <cell r="D92">
            <v>1.0194388999999999</v>
          </cell>
        </row>
        <row r="93">
          <cell r="C93" t="str">
            <v>Cyprus</v>
          </cell>
          <cell r="D93">
            <v>0.75828020000000007</v>
          </cell>
        </row>
        <row r="94">
          <cell r="C94" t="str">
            <v>Czech Republic</v>
          </cell>
          <cell r="D94">
            <v>0.52662900000000001</v>
          </cell>
        </row>
        <row r="95">
          <cell r="C95" t="str">
            <v>Denmark</v>
          </cell>
          <cell r="D95">
            <v>0.341339</v>
          </cell>
        </row>
        <row r="96">
          <cell r="C96" t="str">
            <v>Dominican Republic</v>
          </cell>
          <cell r="D96">
            <v>0.6238551</v>
          </cell>
        </row>
        <row r="97">
          <cell r="C97" t="str">
            <v>Ecuador</v>
          </cell>
          <cell r="D97">
            <v>0.3957349</v>
          </cell>
        </row>
        <row r="98">
          <cell r="C98" t="str">
            <v>Egypt</v>
          </cell>
          <cell r="D98">
            <v>0.46980840000000001</v>
          </cell>
        </row>
        <row r="99">
          <cell r="C99" t="str">
            <v>El Salvador</v>
          </cell>
          <cell r="D99">
            <v>0.2167277</v>
          </cell>
        </row>
        <row r="100">
          <cell r="C100" t="str">
            <v>Eritrea</v>
          </cell>
          <cell r="D100">
            <v>0.69034200000000001</v>
          </cell>
        </row>
        <row r="101">
          <cell r="C101" t="str">
            <v>Estonia</v>
          </cell>
          <cell r="D101">
            <v>0.64015809999999995</v>
          </cell>
        </row>
        <row r="102">
          <cell r="C102" t="str">
            <v>Ethiopia</v>
          </cell>
          <cell r="D102">
            <v>2.9140000000000004E-3</v>
          </cell>
        </row>
        <row r="103">
          <cell r="C103" t="str">
            <v>Finland</v>
          </cell>
          <cell r="D103">
            <v>0.241592</v>
          </cell>
        </row>
        <row r="104">
          <cell r="C104" t="str">
            <v>France</v>
          </cell>
          <cell r="D104">
            <v>8.4953000000000001E-2</v>
          </cell>
        </row>
        <row r="105">
          <cell r="C105" t="str">
            <v>Gabon</v>
          </cell>
          <cell r="D105">
            <v>0.34666050000000004</v>
          </cell>
        </row>
        <row r="106">
          <cell r="C106" t="str">
            <v>Georgia</v>
          </cell>
          <cell r="D106">
            <v>0.14496780000000001</v>
          </cell>
        </row>
        <row r="107">
          <cell r="C107" t="str">
            <v>Germany</v>
          </cell>
          <cell r="D107">
            <v>0.40362900000000002</v>
          </cell>
        </row>
        <row r="108">
          <cell r="C108" t="str">
            <v>Ghana</v>
          </cell>
          <cell r="D108">
            <v>0.27569850000000001</v>
          </cell>
        </row>
        <row r="109">
          <cell r="C109" t="str">
            <v>Gibraltar</v>
          </cell>
          <cell r="D109">
            <v>0.73043050000000009</v>
          </cell>
        </row>
        <row r="110">
          <cell r="C110" t="str">
            <v>Greece</v>
          </cell>
          <cell r="D110">
            <v>0.72496400000000005</v>
          </cell>
        </row>
        <row r="111">
          <cell r="C111" t="str">
            <v>Guatemala</v>
          </cell>
          <cell r="D111">
            <v>0.33441470000000001</v>
          </cell>
        </row>
        <row r="112">
          <cell r="C112" t="str">
            <v>Haiti</v>
          </cell>
          <cell r="D112">
            <v>0.30518250000000002</v>
          </cell>
        </row>
        <row r="113">
          <cell r="C113" t="str">
            <v>Honduras</v>
          </cell>
          <cell r="D113">
            <v>0.41325259999999997</v>
          </cell>
        </row>
        <row r="114">
          <cell r="C114" t="str">
            <v>Hong Kong, China</v>
          </cell>
          <cell r="D114">
            <v>0.85461260000000006</v>
          </cell>
        </row>
        <row r="115">
          <cell r="C115" t="str">
            <v>Hungary</v>
          </cell>
          <cell r="D115">
            <v>0.34392700000000004</v>
          </cell>
        </row>
        <row r="116">
          <cell r="C116" t="str">
            <v>Iceland</v>
          </cell>
          <cell r="D116">
            <v>5.4200000000000006E-4</v>
          </cell>
        </row>
        <row r="117">
          <cell r="C117" t="str">
            <v>India</v>
          </cell>
          <cell r="D117">
            <v>0.9440385</v>
          </cell>
        </row>
        <row r="118">
          <cell r="C118" t="str">
            <v>Indonesia</v>
          </cell>
          <cell r="D118">
            <v>0.67672529999999997</v>
          </cell>
        </row>
        <row r="119">
          <cell r="C119" t="str">
            <v>Islamic Republic of Iran</v>
          </cell>
          <cell r="D119">
            <v>0.51435469999999994</v>
          </cell>
        </row>
        <row r="120">
          <cell r="C120" t="str">
            <v>Iraq</v>
          </cell>
          <cell r="D120">
            <v>0.70090959999999991</v>
          </cell>
        </row>
        <row r="121">
          <cell r="C121" t="str">
            <v>Ireland</v>
          </cell>
          <cell r="D121">
            <v>0.53533299999999995</v>
          </cell>
        </row>
        <row r="122">
          <cell r="C122" t="str">
            <v>Israel</v>
          </cell>
          <cell r="D122">
            <v>0.77365099999999998</v>
          </cell>
        </row>
        <row r="123">
          <cell r="C123" t="str">
            <v>Italy</v>
          </cell>
          <cell r="D123">
            <v>0.40351199999999998</v>
          </cell>
        </row>
        <row r="124">
          <cell r="C124" t="str">
            <v>Jamaica</v>
          </cell>
          <cell r="D124">
            <v>0.82975509999999997</v>
          </cell>
        </row>
        <row r="125">
          <cell r="C125" t="str">
            <v>Japan</v>
          </cell>
          <cell r="D125">
            <v>0.418346</v>
          </cell>
        </row>
        <row r="126">
          <cell r="C126" t="str">
            <v>Jordan</v>
          </cell>
          <cell r="D126">
            <v>0.60187390000000007</v>
          </cell>
        </row>
        <row r="127">
          <cell r="C127" t="str">
            <v>Kazakhstan</v>
          </cell>
          <cell r="D127">
            <v>0.52002650000000006</v>
          </cell>
        </row>
        <row r="128">
          <cell r="C128" t="str">
            <v>Kenya</v>
          </cell>
          <cell r="D128">
            <v>0.31749050000000001</v>
          </cell>
        </row>
        <row r="129">
          <cell r="C129" t="str">
            <v>Dem. People's Republic of Korea</v>
          </cell>
          <cell r="D129">
            <v>0.53319550000000004</v>
          </cell>
        </row>
        <row r="130">
          <cell r="C130" t="str">
            <v>Korea</v>
          </cell>
          <cell r="D130">
            <v>0.464337</v>
          </cell>
        </row>
        <row r="131">
          <cell r="C131" t="str">
            <v>Kuwait</v>
          </cell>
          <cell r="D131">
            <v>0.64291679999999995</v>
          </cell>
        </row>
        <row r="132">
          <cell r="C132" t="str">
            <v>Kyrgyzstan</v>
          </cell>
          <cell r="D132">
            <v>7.9160999999999995E-2</v>
          </cell>
        </row>
        <row r="133">
          <cell r="C133" t="str">
            <v>Latvia</v>
          </cell>
          <cell r="D133">
            <v>0.16738810000000001</v>
          </cell>
        </row>
        <row r="134">
          <cell r="C134" t="str">
            <v>Lebanon</v>
          </cell>
          <cell r="D134">
            <v>0.69464970000000004</v>
          </cell>
        </row>
        <row r="135">
          <cell r="C135" t="str">
            <v>Libya</v>
          </cell>
          <cell r="D135">
            <v>0.87882860000000007</v>
          </cell>
        </row>
        <row r="136">
          <cell r="C136" t="str">
            <v>Lithuania</v>
          </cell>
          <cell r="D136">
            <v>0.13948199999999999</v>
          </cell>
        </row>
        <row r="137">
          <cell r="C137" t="str">
            <v>Luxembourg</v>
          </cell>
          <cell r="D137">
            <v>0.32604700000000003</v>
          </cell>
        </row>
        <row r="138">
          <cell r="C138" t="str">
            <v>FYR of Macedonia</v>
          </cell>
          <cell r="D138">
            <v>0.61890590000000001</v>
          </cell>
        </row>
        <row r="139">
          <cell r="C139" t="str">
            <v>Malaysia</v>
          </cell>
          <cell r="D139">
            <v>0.6553582</v>
          </cell>
        </row>
        <row r="140">
          <cell r="C140" t="str">
            <v>Malta</v>
          </cell>
          <cell r="D140">
            <v>0.83408540000000009</v>
          </cell>
        </row>
        <row r="141">
          <cell r="C141" t="str">
            <v>Mexico</v>
          </cell>
          <cell r="D141">
            <v>0.54128500000000002</v>
          </cell>
        </row>
        <row r="142">
          <cell r="C142" t="str">
            <v>Republic of Moldova</v>
          </cell>
          <cell r="D142">
            <v>0.47556799999999999</v>
          </cell>
        </row>
        <row r="143">
          <cell r="C143" t="str">
            <v>Mongolia</v>
          </cell>
          <cell r="D143">
            <v>0.52330999999999994</v>
          </cell>
        </row>
        <row r="144">
          <cell r="C144" t="str">
            <v>Morocco</v>
          </cell>
          <cell r="D144">
            <v>0.70790120000000001</v>
          </cell>
        </row>
        <row r="145">
          <cell r="C145" t="str">
            <v>Mozambique</v>
          </cell>
          <cell r="D145">
            <v>1.0178000000000001E-3</v>
          </cell>
        </row>
        <row r="146">
          <cell r="C146" t="str">
            <v>Myanmar</v>
          </cell>
          <cell r="D146">
            <v>0.3382211</v>
          </cell>
        </row>
        <row r="147">
          <cell r="C147" t="str">
            <v>Namibia</v>
          </cell>
          <cell r="D147">
            <v>7.5646900000000003E-2</v>
          </cell>
        </row>
        <row r="148">
          <cell r="C148" t="str">
            <v>Nepal</v>
          </cell>
          <cell r="D148">
            <v>3.7995999999999998E-3</v>
          </cell>
        </row>
        <row r="149">
          <cell r="C149" t="str">
            <v>Netherlands</v>
          </cell>
          <cell r="D149">
            <v>0.39431499999999997</v>
          </cell>
        </row>
        <row r="150">
          <cell r="C150" t="str">
            <v>Netherlands Antilles</v>
          </cell>
          <cell r="D150">
            <v>0.7170685</v>
          </cell>
        </row>
        <row r="151">
          <cell r="C151" t="str">
            <v>New Zealand</v>
          </cell>
          <cell r="D151">
            <v>0.30910000000000004</v>
          </cell>
        </row>
        <row r="152">
          <cell r="C152" t="str">
            <v>Nicaragua</v>
          </cell>
          <cell r="D152">
            <v>0.54976369999999997</v>
          </cell>
        </row>
        <row r="153">
          <cell r="C153" t="str">
            <v>Nigeria</v>
          </cell>
          <cell r="D153">
            <v>0.38613780000000003</v>
          </cell>
        </row>
        <row r="154">
          <cell r="C154" t="str">
            <v>Norway</v>
          </cell>
          <cell r="D154">
            <v>6.8669999999999998E-3</v>
          </cell>
        </row>
        <row r="155">
          <cell r="C155" t="str">
            <v>Oman</v>
          </cell>
          <cell r="D155">
            <v>0.85611270000000006</v>
          </cell>
        </row>
        <row r="156">
          <cell r="C156" t="str">
            <v>Pakistan</v>
          </cell>
          <cell r="D156">
            <v>0.41280820000000001</v>
          </cell>
        </row>
        <row r="157">
          <cell r="C157" t="str">
            <v>Panama</v>
          </cell>
          <cell r="D157">
            <v>0.22884389999999999</v>
          </cell>
        </row>
        <row r="158">
          <cell r="C158" t="str">
            <v>Paraguay</v>
          </cell>
          <cell r="D158">
            <v>0</v>
          </cell>
        </row>
        <row r="159">
          <cell r="C159" t="str">
            <v>Peru</v>
          </cell>
          <cell r="D159">
            <v>0.17232349999999999</v>
          </cell>
        </row>
        <row r="160">
          <cell r="C160" t="str">
            <v>Philippines</v>
          </cell>
          <cell r="D160">
            <v>0.43500610000000001</v>
          </cell>
        </row>
        <row r="161">
          <cell r="C161" t="str">
            <v>Poland</v>
          </cell>
          <cell r="D161">
            <v>0.65864999999999996</v>
          </cell>
        </row>
        <row r="162">
          <cell r="C162" t="str">
            <v>Portugal</v>
          </cell>
          <cell r="D162">
            <v>0.41642399999999996</v>
          </cell>
        </row>
        <row r="163">
          <cell r="C163" t="str">
            <v>Qatar</v>
          </cell>
          <cell r="D163">
            <v>0.62571410000000005</v>
          </cell>
        </row>
        <row r="164">
          <cell r="C164" t="str">
            <v>Romania</v>
          </cell>
          <cell r="D164">
            <v>0.42860500000000001</v>
          </cell>
        </row>
        <row r="165">
          <cell r="C165" t="str">
            <v>Russia</v>
          </cell>
          <cell r="D165">
            <v>0.32856540000000001</v>
          </cell>
        </row>
        <row r="166">
          <cell r="C166" t="str">
            <v>Saudi Arabia</v>
          </cell>
          <cell r="D166">
            <v>0.75537339999999997</v>
          </cell>
        </row>
        <row r="167">
          <cell r="C167" t="str">
            <v>Senegal</v>
          </cell>
          <cell r="D167">
            <v>0.72589490000000001</v>
          </cell>
        </row>
        <row r="168">
          <cell r="C168" t="str">
            <v>Serbia</v>
          </cell>
          <cell r="D168">
            <v>0.71559110000000004</v>
          </cell>
        </row>
        <row r="169">
          <cell r="C169" t="str">
            <v>Singapore</v>
          </cell>
          <cell r="D169">
            <v>0.53605859999999994</v>
          </cell>
        </row>
        <row r="170">
          <cell r="C170" t="str">
            <v>Slovak Republic</v>
          </cell>
          <cell r="D170">
            <v>0.223412</v>
          </cell>
        </row>
        <row r="171">
          <cell r="C171" t="str">
            <v xml:space="preserve">Slovenia </v>
          </cell>
          <cell r="D171">
            <v>0.33175889999999997</v>
          </cell>
        </row>
        <row r="172">
          <cell r="C172" t="str">
            <v>South Africa</v>
          </cell>
          <cell r="D172">
            <v>0.86899959999999998</v>
          </cell>
        </row>
        <row r="173">
          <cell r="C173" t="str">
            <v>Spain</v>
          </cell>
          <cell r="D173">
            <v>0.34979399999999999</v>
          </cell>
        </row>
        <row r="174">
          <cell r="C174" t="str">
            <v>Sri Lanka</v>
          </cell>
          <cell r="D174">
            <v>0.31372440000000001</v>
          </cell>
        </row>
        <row r="175">
          <cell r="C175" t="str">
            <v>Sudan</v>
          </cell>
          <cell r="D175">
            <v>0.61391830000000003</v>
          </cell>
        </row>
        <row r="176">
          <cell r="C176" t="str">
            <v>Sweden</v>
          </cell>
          <cell r="D176">
            <v>4.7966000000000002E-2</v>
          </cell>
        </row>
        <row r="177">
          <cell r="C177" t="str">
            <v>Switzerland</v>
          </cell>
          <cell r="D177">
            <v>2.5722999999999999E-2</v>
          </cell>
        </row>
        <row r="178">
          <cell r="C178" t="str">
            <v>Syria</v>
          </cell>
          <cell r="D178">
            <v>0.60439919999999991</v>
          </cell>
        </row>
        <row r="179">
          <cell r="C179" t="str">
            <v>Tajikistan</v>
          </cell>
          <cell r="D179">
            <v>2.8018299999999999E-2</v>
          </cell>
        </row>
        <row r="180">
          <cell r="C180" t="str">
            <v>United Republic of Tanzania</v>
          </cell>
          <cell r="D180">
            <v>0.31551220000000002</v>
          </cell>
        </row>
        <row r="181">
          <cell r="C181" t="str">
            <v>Thailand</v>
          </cell>
          <cell r="D181">
            <v>0.5109283</v>
          </cell>
        </row>
        <row r="182">
          <cell r="C182" t="str">
            <v>Togo</v>
          </cell>
          <cell r="D182">
            <v>0.45866969999999996</v>
          </cell>
        </row>
        <row r="183">
          <cell r="C183" t="str">
            <v>Trinidad and Tobago</v>
          </cell>
          <cell r="D183">
            <v>0.7243096</v>
          </cell>
        </row>
        <row r="184">
          <cell r="C184" t="str">
            <v>Tunisia</v>
          </cell>
          <cell r="D184">
            <v>0.54585859999999997</v>
          </cell>
        </row>
        <row r="185">
          <cell r="C185" t="str">
            <v>Turkey</v>
          </cell>
          <cell r="D185">
            <v>0.438222</v>
          </cell>
        </row>
        <row r="186">
          <cell r="C186" t="str">
            <v>Turkmenistan</v>
          </cell>
          <cell r="D186">
            <v>0.79513040000000001</v>
          </cell>
        </row>
        <row r="187">
          <cell r="C187" t="str">
            <v>Ukraine</v>
          </cell>
          <cell r="D187">
            <v>0.34432879999999999</v>
          </cell>
        </row>
        <row r="188">
          <cell r="C188" t="str">
            <v>United Arab Emirates</v>
          </cell>
          <cell r="D188">
            <v>0.81998559999999998</v>
          </cell>
        </row>
        <row r="189">
          <cell r="C189" t="str">
            <v>United Kingdom</v>
          </cell>
          <cell r="D189">
            <v>0.50473299999999999</v>
          </cell>
        </row>
        <row r="190">
          <cell r="C190" t="str">
            <v>United States</v>
          </cell>
          <cell r="D190">
            <v>0.55865999999999993</v>
          </cell>
        </row>
        <row r="191">
          <cell r="C191" t="str">
            <v>Uruguay</v>
          </cell>
          <cell r="D191">
            <v>0.2963499</v>
          </cell>
        </row>
        <row r="192">
          <cell r="C192" t="str">
            <v>Uzbekistan</v>
          </cell>
          <cell r="D192">
            <v>0.44636000000000003</v>
          </cell>
        </row>
        <row r="193">
          <cell r="C193" t="str">
            <v>Venezuela</v>
          </cell>
          <cell r="D193">
            <v>0.20844220000000002</v>
          </cell>
        </row>
        <row r="194">
          <cell r="C194" t="str">
            <v>Vietnam</v>
          </cell>
          <cell r="D194">
            <v>0.39631379999999999</v>
          </cell>
        </row>
        <row r="195">
          <cell r="C195" t="str">
            <v>Yemen</v>
          </cell>
          <cell r="D195">
            <v>0.82303110000000002</v>
          </cell>
        </row>
        <row r="196">
          <cell r="C196" t="str">
            <v>Zambia</v>
          </cell>
          <cell r="D196">
            <v>6.7573999999999993E-3</v>
          </cell>
        </row>
        <row r="197">
          <cell r="C197" t="str">
            <v>Zimbabwe</v>
          </cell>
          <cell r="D197">
            <v>0.57276890000000003</v>
          </cell>
        </row>
        <row r="198">
          <cell r="C198" t="str">
            <v>Other Africa</v>
          </cell>
          <cell r="D198">
            <v>0.48861130000000003</v>
          </cell>
        </row>
        <row r="199">
          <cell r="C199" t="str">
            <v>Other Latin America</v>
          </cell>
          <cell r="D199">
            <v>0.50899280000000002</v>
          </cell>
        </row>
        <row r="200">
          <cell r="C200" t="str">
            <v>Other Asia</v>
          </cell>
          <cell r="D200">
            <v>0.3078166</v>
          </cell>
        </row>
      </sheetData>
      <sheetData sheetId="4"/>
      <sheetData sheetId="5">
        <row r="7">
          <cell r="C7" t="str">
            <v>Eastern Asia</v>
          </cell>
          <cell r="D7">
            <v>26.2</v>
          </cell>
          <cell r="E7">
            <v>18.8</v>
          </cell>
          <cell r="F7">
            <v>3.5</v>
          </cell>
          <cell r="G7">
            <v>3.5</v>
          </cell>
          <cell r="H7">
            <v>1</v>
          </cell>
          <cell r="I7">
            <v>14.3</v>
          </cell>
          <cell r="J7">
            <v>2.7</v>
          </cell>
          <cell r="K7">
            <v>3.1</v>
          </cell>
          <cell r="L7">
            <v>7.4</v>
          </cell>
        </row>
        <row r="8">
          <cell r="C8" t="str">
            <v>South-Central Asia</v>
          </cell>
          <cell r="D8">
            <v>40.299999999999997</v>
          </cell>
          <cell r="E8">
            <v>11.3</v>
          </cell>
          <cell r="F8">
            <v>7.9</v>
          </cell>
          <cell r="G8">
            <v>2.5</v>
          </cell>
          <cell r="H8">
            <v>0.8</v>
          </cell>
          <cell r="I8">
            <v>6.4</v>
          </cell>
          <cell r="J8">
            <v>3.8</v>
          </cell>
          <cell r="K8">
            <v>3.5</v>
          </cell>
          <cell r="L8">
            <v>21.9</v>
          </cell>
        </row>
        <row r="9">
          <cell r="C9" t="str">
            <v>South-Eastern Asia</v>
          </cell>
          <cell r="D9">
            <v>43.5</v>
          </cell>
          <cell r="E9">
            <v>12.9</v>
          </cell>
          <cell r="F9">
            <v>9.9</v>
          </cell>
          <cell r="G9">
            <v>2.7</v>
          </cell>
          <cell r="H9">
            <v>0.9</v>
          </cell>
          <cell r="I9">
            <v>7.2</v>
          </cell>
          <cell r="J9">
            <v>3.3</v>
          </cell>
          <cell r="K9">
            <v>4</v>
          </cell>
          <cell r="L9">
            <v>16.3</v>
          </cell>
        </row>
        <row r="10">
          <cell r="C10" t="str">
            <v>Western Asia &amp; Middle East</v>
          </cell>
          <cell r="D10">
            <v>41.1</v>
          </cell>
          <cell r="E10">
            <v>18</v>
          </cell>
          <cell r="F10">
            <v>9.8000000000000007</v>
          </cell>
          <cell r="G10">
            <v>2.9</v>
          </cell>
          <cell r="H10">
            <v>0.6</v>
          </cell>
          <cell r="I10">
            <v>6.3</v>
          </cell>
          <cell r="J10">
            <v>1.3</v>
          </cell>
          <cell r="K10">
            <v>2.2000000000000002</v>
          </cell>
          <cell r="L10">
            <v>5.4</v>
          </cell>
        </row>
        <row r="11">
          <cell r="C11" t="str">
            <v>Eastern Africa</v>
          </cell>
          <cell r="D11">
            <v>53.9</v>
          </cell>
          <cell r="E11">
            <v>7.7</v>
          </cell>
          <cell r="F11">
            <v>7</v>
          </cell>
          <cell r="G11">
            <v>1.7</v>
          </cell>
          <cell r="H11">
            <v>1.1000000000000001</v>
          </cell>
          <cell r="I11">
            <v>5.5</v>
          </cell>
          <cell r="J11">
            <v>1.8</v>
          </cell>
          <cell r="K11">
            <v>2.2999999999999998</v>
          </cell>
          <cell r="L11">
            <v>11.6</v>
          </cell>
        </row>
        <row r="12">
          <cell r="C12" t="str">
            <v>Middle Africa</v>
          </cell>
          <cell r="D12">
            <v>43.4</v>
          </cell>
          <cell r="E12">
            <v>16.8</v>
          </cell>
          <cell r="F12">
            <v>6.5</v>
          </cell>
          <cell r="G12">
            <v>2.5</v>
          </cell>
          <cell r="I12">
            <v>4.5</v>
          </cell>
          <cell r="J12">
            <v>3.5</v>
          </cell>
          <cell r="K12">
            <v>2</v>
          </cell>
          <cell r="L12">
            <v>1.5</v>
          </cell>
        </row>
        <row r="13">
          <cell r="C13" t="str">
            <v>Northern Africa</v>
          </cell>
          <cell r="D13">
            <v>51.1</v>
          </cell>
          <cell r="E13">
            <v>16.5</v>
          </cell>
          <cell r="F13">
            <v>2</v>
          </cell>
          <cell r="G13">
            <v>2.5</v>
          </cell>
          <cell r="I13">
            <v>4.5</v>
          </cell>
          <cell r="J13">
            <v>3.5</v>
          </cell>
          <cell r="K13">
            <v>2</v>
          </cell>
          <cell r="L13">
            <v>1.5</v>
          </cell>
        </row>
        <row r="14">
          <cell r="C14" t="str">
            <v>Southern Africa</v>
          </cell>
          <cell r="D14">
            <v>23</v>
          </cell>
          <cell r="E14">
            <v>25</v>
          </cell>
          <cell r="F14">
            <v>15</v>
          </cell>
        </row>
        <row r="15">
          <cell r="C15" t="str">
            <v>Western Africa</v>
          </cell>
          <cell r="D15">
            <v>40.4</v>
          </cell>
          <cell r="E15">
            <v>9.8000000000000007</v>
          </cell>
          <cell r="F15">
            <v>4.4000000000000004</v>
          </cell>
          <cell r="G15">
            <v>1</v>
          </cell>
          <cell r="I15">
            <v>3</v>
          </cell>
          <cell r="J15">
            <v>1</v>
          </cell>
        </row>
        <row r="16">
          <cell r="C16" t="str">
            <v>Eastern Europe</v>
          </cell>
          <cell r="D16">
            <v>30.1</v>
          </cell>
          <cell r="E16">
            <v>21.8</v>
          </cell>
          <cell r="F16">
            <v>7.5</v>
          </cell>
          <cell r="G16">
            <v>4.7</v>
          </cell>
          <cell r="H16">
            <v>1.4</v>
          </cell>
          <cell r="I16">
            <v>6.2</v>
          </cell>
          <cell r="J16">
            <v>3.6</v>
          </cell>
          <cell r="K16">
            <v>10</v>
          </cell>
          <cell r="L16">
            <v>14.6</v>
          </cell>
        </row>
        <row r="17">
          <cell r="C17" t="str">
            <v>Northern Europe</v>
          </cell>
          <cell r="D17">
            <v>23.8</v>
          </cell>
          <cell r="E17">
            <v>30.6</v>
          </cell>
          <cell r="F17">
            <v>10</v>
          </cell>
          <cell r="G17">
            <v>2</v>
          </cell>
          <cell r="I17">
            <v>13</v>
          </cell>
          <cell r="J17">
            <v>7</v>
          </cell>
          <cell r="K17">
            <v>8</v>
          </cell>
        </row>
        <row r="18">
          <cell r="C18" t="str">
            <v>Southern Europe</v>
          </cell>
          <cell r="D18">
            <v>36.9</v>
          </cell>
          <cell r="E18">
            <v>17</v>
          </cell>
          <cell r="F18">
            <v>10.6</v>
          </cell>
        </row>
        <row r="19">
          <cell r="C19" t="str">
            <v>Western Europe</v>
          </cell>
          <cell r="D19">
            <v>24.2</v>
          </cell>
          <cell r="E19">
            <v>27.5</v>
          </cell>
          <cell r="F19">
            <v>11</v>
          </cell>
        </row>
        <row r="20">
          <cell r="C20" t="str">
            <v>Australia and New Zealand</v>
          </cell>
          <cell r="D20">
            <v>36</v>
          </cell>
          <cell r="E20">
            <v>30</v>
          </cell>
          <cell r="F20">
            <v>24</v>
          </cell>
        </row>
        <row r="21">
          <cell r="C21" t="str">
            <v>Rest of Oceania</v>
          </cell>
          <cell r="D21">
            <v>67.5</v>
          </cell>
          <cell r="E21">
            <v>6</v>
          </cell>
          <cell r="F21">
            <v>2.5</v>
          </cell>
        </row>
        <row r="22">
          <cell r="C22" t="str">
            <v>North America</v>
          </cell>
          <cell r="D22">
            <v>33.9</v>
          </cell>
          <cell r="E22">
            <v>23.2</v>
          </cell>
          <cell r="F22">
            <v>6.2</v>
          </cell>
          <cell r="G22">
            <v>3.9</v>
          </cell>
          <cell r="H22">
            <v>1.4</v>
          </cell>
          <cell r="I22">
            <v>8.5</v>
          </cell>
          <cell r="J22">
            <v>4.5999999999999996</v>
          </cell>
          <cell r="K22">
            <v>6.5</v>
          </cell>
          <cell r="L22">
            <v>9.8000000000000007</v>
          </cell>
        </row>
        <row r="23">
          <cell r="C23" t="str">
            <v>Central America</v>
          </cell>
          <cell r="D23">
            <v>43.8</v>
          </cell>
          <cell r="E23">
            <v>13.7</v>
          </cell>
          <cell r="F23">
            <v>13.5</v>
          </cell>
          <cell r="G23">
            <v>2.6</v>
          </cell>
          <cell r="H23">
            <v>1.8</v>
          </cell>
          <cell r="I23">
            <v>6.7</v>
          </cell>
          <cell r="J23">
            <v>2.6</v>
          </cell>
          <cell r="K23">
            <v>3.7</v>
          </cell>
          <cell r="L23">
            <v>12.3</v>
          </cell>
        </row>
        <row r="24">
          <cell r="C24" t="str">
            <v>South America</v>
          </cell>
          <cell r="D24">
            <v>44.9</v>
          </cell>
          <cell r="E24">
            <v>17.100000000000001</v>
          </cell>
          <cell r="F24">
            <v>4.7</v>
          </cell>
          <cell r="G24">
            <v>2.6</v>
          </cell>
          <cell r="H24">
            <v>0.7</v>
          </cell>
          <cell r="I24">
            <v>10.8</v>
          </cell>
          <cell r="J24">
            <v>2.9</v>
          </cell>
          <cell r="K24">
            <v>3.3</v>
          </cell>
          <cell r="L24">
            <v>13</v>
          </cell>
        </row>
        <row r="25">
          <cell r="C25" t="str">
            <v>Caribbean</v>
          </cell>
          <cell r="D25">
            <v>46.9</v>
          </cell>
          <cell r="E25">
            <v>17</v>
          </cell>
          <cell r="F25">
            <v>2.4</v>
          </cell>
          <cell r="G25">
            <v>5.0999999999999996</v>
          </cell>
          <cell r="H25">
            <v>1.9</v>
          </cell>
          <cell r="I25">
            <v>9.9</v>
          </cell>
          <cell r="J25">
            <v>5</v>
          </cell>
          <cell r="K25">
            <v>5.7</v>
          </cell>
          <cell r="L25">
            <v>3.5</v>
          </cell>
        </row>
        <row r="26">
          <cell r="C26" t="str">
            <v>Use Local Data</v>
          </cell>
        </row>
        <row r="37">
          <cell r="C37" t="str">
            <v xml:space="preserve">Anaerobic Managed Solid Waste </v>
          </cell>
          <cell r="D37">
            <v>1</v>
          </cell>
        </row>
        <row r="38">
          <cell r="C38" t="str">
            <v>Semi-Aerobic Managed Solid Waste</v>
          </cell>
          <cell r="D38">
            <v>0.5</v>
          </cell>
        </row>
        <row r="39">
          <cell r="C39" t="str">
            <v>Unmanaged Solid Waste (Deep)</v>
          </cell>
          <cell r="D39">
            <v>0.8</v>
          </cell>
        </row>
        <row r="40">
          <cell r="C40" t="str">
            <v>Unmanaged Solid Waste (Shallow)</v>
          </cell>
          <cell r="D40">
            <v>0.4</v>
          </cell>
        </row>
        <row r="45">
          <cell r="C45" t="str">
            <v>Food Waste</v>
          </cell>
          <cell r="D45">
            <v>0.15</v>
          </cell>
          <cell r="E45">
            <v>0.38</v>
          </cell>
        </row>
        <row r="46">
          <cell r="C46" t="str">
            <v>Paper / Cardboard</v>
          </cell>
          <cell r="D46">
            <v>0.4</v>
          </cell>
          <cell r="E46">
            <v>0.44</v>
          </cell>
        </row>
        <row r="47">
          <cell r="C47" t="str">
            <v>Wood</v>
          </cell>
          <cell r="D47">
            <v>0.43</v>
          </cell>
          <cell r="E47">
            <v>0.5</v>
          </cell>
        </row>
        <row r="48">
          <cell r="C48" t="str">
            <v>Textiles</v>
          </cell>
          <cell r="D48">
            <v>0.24</v>
          </cell>
          <cell r="E48">
            <v>0.3</v>
          </cell>
        </row>
        <row r="49">
          <cell r="C49" t="str">
            <v>Rubber/Leather</v>
          </cell>
          <cell r="D49">
            <v>0</v>
          </cell>
          <cell r="E49">
            <v>0</v>
          </cell>
        </row>
        <row r="50">
          <cell r="C50" t="str">
            <v>Plastic</v>
          </cell>
          <cell r="D50">
            <v>0</v>
          </cell>
          <cell r="E50">
            <v>0</v>
          </cell>
        </row>
        <row r="51">
          <cell r="C51" t="str">
            <v>Metal</v>
          </cell>
          <cell r="D51">
            <v>0</v>
          </cell>
          <cell r="E51">
            <v>0</v>
          </cell>
        </row>
        <row r="52">
          <cell r="C52" t="str">
            <v>Glass</v>
          </cell>
          <cell r="D52">
            <v>0</v>
          </cell>
          <cell r="E52">
            <v>0</v>
          </cell>
        </row>
        <row r="56">
          <cell r="D56" t="str">
            <v>&lt;20&lt;1000</v>
          </cell>
          <cell r="E56" t="str">
            <v>&lt;20&gt;1000</v>
          </cell>
          <cell r="F56" t="str">
            <v>&gt;20&lt;1000</v>
          </cell>
          <cell r="G56" t="str">
            <v>&gt;20&gt;1000</v>
          </cell>
        </row>
        <row r="57">
          <cell r="D57">
            <v>0.06</v>
          </cell>
          <cell r="E57">
            <v>0.185</v>
          </cell>
          <cell r="F57">
            <v>8.5000000000000006E-2</v>
          </cell>
          <cell r="G57">
            <v>0.4</v>
          </cell>
        </row>
        <row r="58">
          <cell r="D58">
            <v>0.04</v>
          </cell>
          <cell r="E58">
            <v>0.06</v>
          </cell>
          <cell r="F58">
            <v>4.4999999999999998E-2</v>
          </cell>
          <cell r="G58">
            <v>7.0000000000000007E-2</v>
          </cell>
        </row>
        <row r="59">
          <cell r="D59">
            <v>0.02</v>
          </cell>
          <cell r="E59">
            <v>0.03</v>
          </cell>
          <cell r="F59">
            <v>2.5000000000000001E-2</v>
          </cell>
          <cell r="G59">
            <v>3.5000000000000003E-2</v>
          </cell>
        </row>
        <row r="60">
          <cell r="D60">
            <v>0.04</v>
          </cell>
          <cell r="E60">
            <v>0.06</v>
          </cell>
          <cell r="F60">
            <v>4.4999999999999998E-2</v>
          </cell>
          <cell r="G60">
            <v>7.0000000000000007E-2</v>
          </cell>
        </row>
        <row r="71">
          <cell r="D71">
            <v>0.8</v>
          </cell>
        </row>
        <row r="79">
          <cell r="C79" t="str">
            <v>Crude Oil</v>
          </cell>
          <cell r="D79">
            <v>73300</v>
          </cell>
          <cell r="E79">
            <v>3</v>
          </cell>
          <cell r="F79">
            <v>0.6</v>
          </cell>
          <cell r="G79">
            <v>73303.06</v>
          </cell>
        </row>
        <row r="80">
          <cell r="C80" t="str">
            <v>Orimulsion</v>
          </cell>
          <cell r="D80">
            <v>77000</v>
          </cell>
          <cell r="E80">
            <v>3</v>
          </cell>
          <cell r="F80">
            <v>0.6</v>
          </cell>
          <cell r="G80">
            <v>77003.06</v>
          </cell>
        </row>
        <row r="81">
          <cell r="C81" t="str">
            <v>Natural Gas Liquids</v>
          </cell>
          <cell r="D81">
            <v>64200</v>
          </cell>
          <cell r="E81">
            <v>3</v>
          </cell>
          <cell r="F81">
            <v>0.6</v>
          </cell>
          <cell r="G81">
            <v>64203.06</v>
          </cell>
        </row>
        <row r="82">
          <cell r="C82" t="str">
            <v>Motor Gasoline</v>
          </cell>
          <cell r="D82">
            <v>69300</v>
          </cell>
          <cell r="E82">
            <v>3</v>
          </cell>
          <cell r="F82">
            <v>0.6</v>
          </cell>
          <cell r="G82">
            <v>69303.06</v>
          </cell>
        </row>
        <row r="83">
          <cell r="C83" t="str">
            <v>Aviation Gasoline</v>
          </cell>
          <cell r="D83">
            <v>70000</v>
          </cell>
          <cell r="E83">
            <v>3</v>
          </cell>
          <cell r="F83">
            <v>0.6</v>
          </cell>
          <cell r="G83">
            <v>70003.06</v>
          </cell>
        </row>
        <row r="84">
          <cell r="C84" t="str">
            <v>Jet Gasoline</v>
          </cell>
          <cell r="D84">
            <v>70000</v>
          </cell>
          <cell r="E84">
            <v>3</v>
          </cell>
          <cell r="F84">
            <v>0.6</v>
          </cell>
          <cell r="G84">
            <v>70003.06</v>
          </cell>
        </row>
        <row r="85">
          <cell r="C85" t="str">
            <v>Jet Kerosene</v>
          </cell>
          <cell r="D85">
            <v>71500</v>
          </cell>
          <cell r="E85">
            <v>3</v>
          </cell>
          <cell r="F85">
            <v>0.6</v>
          </cell>
          <cell r="G85">
            <v>71503.06</v>
          </cell>
        </row>
        <row r="86">
          <cell r="C86" t="str">
            <v>Other Kerosene</v>
          </cell>
          <cell r="D86">
            <v>71900</v>
          </cell>
          <cell r="E86">
            <v>3</v>
          </cell>
          <cell r="F86">
            <v>0.6</v>
          </cell>
          <cell r="G86">
            <v>71903.06</v>
          </cell>
        </row>
        <row r="87">
          <cell r="C87" t="str">
            <v>Shale Oil</v>
          </cell>
          <cell r="D87">
            <v>73300</v>
          </cell>
          <cell r="E87">
            <v>3</v>
          </cell>
          <cell r="F87">
            <v>0.6</v>
          </cell>
          <cell r="G87">
            <v>73303.06</v>
          </cell>
        </row>
        <row r="88">
          <cell r="C88" t="str">
            <v>Gas/Diesel Oil</v>
          </cell>
          <cell r="D88">
            <v>74100</v>
          </cell>
          <cell r="E88">
            <v>3</v>
          </cell>
          <cell r="F88">
            <v>0.6</v>
          </cell>
          <cell r="G88">
            <v>74103.06</v>
          </cell>
        </row>
        <row r="89">
          <cell r="C89" t="str">
            <v>Residual Fuel Oil</v>
          </cell>
          <cell r="D89">
            <v>77400</v>
          </cell>
          <cell r="E89">
            <v>3</v>
          </cell>
          <cell r="F89">
            <v>0.6</v>
          </cell>
          <cell r="G89">
            <v>77403.06</v>
          </cell>
        </row>
        <row r="90">
          <cell r="C90" t="str">
            <v>Liquified Petroleum Gases</v>
          </cell>
          <cell r="D90">
            <v>63100</v>
          </cell>
          <cell r="E90">
            <v>1</v>
          </cell>
          <cell r="F90">
            <v>0.1</v>
          </cell>
          <cell r="G90">
            <v>63101.01</v>
          </cell>
        </row>
        <row r="91">
          <cell r="C91" t="str">
            <v>Ethane</v>
          </cell>
          <cell r="D91">
            <v>61600</v>
          </cell>
          <cell r="E91">
            <v>1</v>
          </cell>
          <cell r="F91">
            <v>0.1</v>
          </cell>
          <cell r="G91">
            <v>61601.01</v>
          </cell>
        </row>
        <row r="92">
          <cell r="C92" t="str">
            <v>Naptha</v>
          </cell>
          <cell r="D92">
            <v>73300</v>
          </cell>
          <cell r="E92">
            <v>3</v>
          </cell>
          <cell r="F92">
            <v>0.6</v>
          </cell>
          <cell r="G92">
            <v>73303.06</v>
          </cell>
        </row>
        <row r="93">
          <cell r="C93" t="str">
            <v>Bitumen</v>
          </cell>
          <cell r="D93">
            <v>80700</v>
          </cell>
          <cell r="E93">
            <v>3</v>
          </cell>
          <cell r="F93">
            <v>0.6</v>
          </cell>
          <cell r="G93">
            <v>80703.06</v>
          </cell>
        </row>
        <row r="94">
          <cell r="C94" t="str">
            <v>Lubricants</v>
          </cell>
          <cell r="D94">
            <v>73300</v>
          </cell>
          <cell r="E94">
            <v>3</v>
          </cell>
          <cell r="F94">
            <v>0.6</v>
          </cell>
          <cell r="G94">
            <v>73303.06</v>
          </cell>
        </row>
        <row r="95">
          <cell r="C95" t="str">
            <v>Petroleum Coke</v>
          </cell>
          <cell r="D95">
            <v>97500</v>
          </cell>
          <cell r="E95">
            <v>3</v>
          </cell>
          <cell r="F95">
            <v>0.6</v>
          </cell>
          <cell r="G95">
            <v>97503.06</v>
          </cell>
        </row>
        <row r="96">
          <cell r="C96" t="str">
            <v>Refinery Feedstocks</v>
          </cell>
          <cell r="D96">
            <v>73300</v>
          </cell>
          <cell r="E96">
            <v>3</v>
          </cell>
          <cell r="F96">
            <v>0.6</v>
          </cell>
          <cell r="G96">
            <v>73303.06</v>
          </cell>
        </row>
        <row r="97">
          <cell r="C97" t="str">
            <v>Refinery Gas</v>
          </cell>
          <cell r="D97">
            <v>57600</v>
          </cell>
          <cell r="E97">
            <v>1</v>
          </cell>
          <cell r="F97">
            <v>0.1</v>
          </cell>
          <cell r="G97">
            <v>57601.01</v>
          </cell>
        </row>
        <row r="98">
          <cell r="C98" t="str">
            <v>Paraffin Waxes</v>
          </cell>
          <cell r="D98">
            <v>73300</v>
          </cell>
          <cell r="E98">
            <v>3</v>
          </cell>
          <cell r="F98">
            <v>0.6</v>
          </cell>
          <cell r="G98">
            <v>73303.06</v>
          </cell>
        </row>
        <row r="99">
          <cell r="C99" t="str">
            <v>White Spirit SBP</v>
          </cell>
          <cell r="D99">
            <v>73300</v>
          </cell>
          <cell r="E99">
            <v>3</v>
          </cell>
          <cell r="F99">
            <v>0.6</v>
          </cell>
          <cell r="G99">
            <v>73303.06</v>
          </cell>
        </row>
        <row r="100">
          <cell r="C100" t="str">
            <v>Other Petroleum Products</v>
          </cell>
          <cell r="D100">
            <v>73300</v>
          </cell>
          <cell r="E100">
            <v>3</v>
          </cell>
          <cell r="F100">
            <v>0.6</v>
          </cell>
          <cell r="G100">
            <v>73303.06</v>
          </cell>
        </row>
        <row r="101">
          <cell r="C101" t="str">
            <v>Anthracite</v>
          </cell>
          <cell r="D101">
            <v>98300</v>
          </cell>
          <cell r="E101">
            <v>10</v>
          </cell>
          <cell r="F101">
            <v>1.5</v>
          </cell>
          <cell r="G101">
            <v>98310.15</v>
          </cell>
        </row>
        <row r="102">
          <cell r="C102" t="str">
            <v>Coking Coal</v>
          </cell>
          <cell r="D102">
            <v>94600</v>
          </cell>
          <cell r="E102">
            <v>10</v>
          </cell>
          <cell r="F102">
            <v>1.5</v>
          </cell>
          <cell r="G102">
            <v>94610.15</v>
          </cell>
        </row>
        <row r="103">
          <cell r="C103" t="str">
            <v>Other Bituminous Coal</v>
          </cell>
          <cell r="D103">
            <v>94600</v>
          </cell>
          <cell r="E103">
            <v>10</v>
          </cell>
          <cell r="F103">
            <v>1.5</v>
          </cell>
          <cell r="G103">
            <v>94610.15</v>
          </cell>
        </row>
        <row r="104">
          <cell r="C104" t="str">
            <v>Sub-Bituminous Coal</v>
          </cell>
          <cell r="D104">
            <v>96100</v>
          </cell>
          <cell r="E104">
            <v>10</v>
          </cell>
          <cell r="F104">
            <v>1.5</v>
          </cell>
          <cell r="G104">
            <v>96110.15</v>
          </cell>
        </row>
        <row r="105">
          <cell r="C105" t="str">
            <v>Lignite</v>
          </cell>
          <cell r="D105">
            <v>101000</v>
          </cell>
          <cell r="E105">
            <v>10</v>
          </cell>
          <cell r="F105">
            <v>1.5</v>
          </cell>
          <cell r="G105">
            <v>101010.15</v>
          </cell>
        </row>
        <row r="106">
          <cell r="C106" t="str">
            <v>Oil Shale and Tar Sands</v>
          </cell>
          <cell r="D106">
            <v>107000</v>
          </cell>
          <cell r="E106">
            <v>10</v>
          </cell>
          <cell r="F106">
            <v>1.5</v>
          </cell>
          <cell r="G106">
            <v>107010.15</v>
          </cell>
        </row>
        <row r="107">
          <cell r="C107" t="str">
            <v>Brown Coal Briquettes</v>
          </cell>
          <cell r="D107">
            <v>97500</v>
          </cell>
          <cell r="E107">
            <v>10</v>
          </cell>
          <cell r="F107">
            <v>1.5</v>
          </cell>
          <cell r="G107">
            <v>97510.15</v>
          </cell>
        </row>
        <row r="108">
          <cell r="C108" t="str">
            <v>Patent Fuel</v>
          </cell>
          <cell r="D108">
            <v>97500</v>
          </cell>
          <cell r="E108">
            <v>10</v>
          </cell>
          <cell r="F108">
            <v>1.5</v>
          </cell>
          <cell r="G108">
            <v>97510.15</v>
          </cell>
        </row>
        <row r="109">
          <cell r="C109" t="str">
            <v>Coke OvenCoke and Lignite</v>
          </cell>
          <cell r="D109">
            <v>107000</v>
          </cell>
          <cell r="E109">
            <v>10</v>
          </cell>
          <cell r="F109">
            <v>1.5</v>
          </cell>
          <cell r="G109">
            <v>107010.15</v>
          </cell>
        </row>
        <row r="110">
          <cell r="C110" t="str">
            <v>Gas Coke</v>
          </cell>
          <cell r="D110">
            <v>107000</v>
          </cell>
          <cell r="E110">
            <v>1</v>
          </cell>
          <cell r="F110">
            <v>0.1</v>
          </cell>
          <cell r="G110">
            <v>107001.01</v>
          </cell>
        </row>
        <row r="111">
          <cell r="C111" t="str">
            <v>Coal Tar</v>
          </cell>
          <cell r="D111">
            <v>80700</v>
          </cell>
          <cell r="E111">
            <v>10</v>
          </cell>
          <cell r="F111">
            <v>1.5</v>
          </cell>
          <cell r="G111">
            <v>80710.149999999994</v>
          </cell>
        </row>
        <row r="112">
          <cell r="C112" t="str">
            <v>Gas Works Gas</v>
          </cell>
          <cell r="D112">
            <v>44400</v>
          </cell>
          <cell r="E112">
            <v>1</v>
          </cell>
          <cell r="F112">
            <v>0.1</v>
          </cell>
          <cell r="G112">
            <v>44401.01</v>
          </cell>
        </row>
        <row r="113">
          <cell r="C113" t="str">
            <v>Coke Oven Gas</v>
          </cell>
          <cell r="D113">
            <v>44400</v>
          </cell>
          <cell r="E113">
            <v>1</v>
          </cell>
          <cell r="F113">
            <v>0.1</v>
          </cell>
          <cell r="G113">
            <v>44401.01</v>
          </cell>
        </row>
        <row r="114">
          <cell r="C114" t="str">
            <v>Blast Furnace Gas</v>
          </cell>
          <cell r="D114">
            <v>260000</v>
          </cell>
          <cell r="E114">
            <v>1</v>
          </cell>
          <cell r="F114">
            <v>0.1</v>
          </cell>
          <cell r="G114">
            <v>260001.01</v>
          </cell>
        </row>
        <row r="115">
          <cell r="C115" t="str">
            <v>Oxygen Steel Furnace Gas</v>
          </cell>
          <cell r="D115">
            <v>182000</v>
          </cell>
          <cell r="E115">
            <v>1</v>
          </cell>
          <cell r="F115">
            <v>0.1</v>
          </cell>
          <cell r="G115">
            <v>182001.01</v>
          </cell>
        </row>
        <row r="116">
          <cell r="C116" t="str">
            <v>Natural Gas Liquids</v>
          </cell>
          <cell r="D116">
            <v>56100</v>
          </cell>
          <cell r="E116">
            <v>1</v>
          </cell>
          <cell r="F116">
            <v>0.1</v>
          </cell>
          <cell r="G116">
            <v>56101.01</v>
          </cell>
        </row>
        <row r="117">
          <cell r="C117" t="str">
            <v>Municipal Wastes (non-bio)</v>
          </cell>
          <cell r="D117">
            <v>91700</v>
          </cell>
          <cell r="E117">
            <v>30</v>
          </cell>
          <cell r="F117">
            <v>4</v>
          </cell>
          <cell r="G117">
            <v>91730.4</v>
          </cell>
        </row>
        <row r="118">
          <cell r="C118" t="str">
            <v>Industrial Wastes</v>
          </cell>
          <cell r="D118">
            <v>143000</v>
          </cell>
          <cell r="E118">
            <v>30</v>
          </cell>
          <cell r="F118">
            <v>4</v>
          </cell>
          <cell r="G118">
            <v>143030.39999999999</v>
          </cell>
        </row>
        <row r="119">
          <cell r="C119" t="str">
            <v>Waste Oils</v>
          </cell>
          <cell r="D119">
            <v>73300</v>
          </cell>
          <cell r="E119">
            <v>30</v>
          </cell>
          <cell r="F119">
            <v>4</v>
          </cell>
          <cell r="G119">
            <v>73330.399999999994</v>
          </cell>
        </row>
        <row r="120">
          <cell r="C120" t="str">
            <v>Peat</v>
          </cell>
          <cell r="D120">
            <v>106000</v>
          </cell>
          <cell r="E120">
            <v>2</v>
          </cell>
          <cell r="F120">
            <v>1.5</v>
          </cell>
          <cell r="G120">
            <v>106002.15</v>
          </cell>
        </row>
        <row r="121">
          <cell r="C121" t="str">
            <v>Wood</v>
          </cell>
          <cell r="D121">
            <v>112000</v>
          </cell>
          <cell r="E121">
            <v>30</v>
          </cell>
          <cell r="F121">
            <v>4</v>
          </cell>
          <cell r="G121">
            <v>112030.39999999999</v>
          </cell>
        </row>
        <row r="122">
          <cell r="C122" t="str">
            <v>Sulphite Lyes</v>
          </cell>
          <cell r="D122">
            <v>95300</v>
          </cell>
          <cell r="E122">
            <v>3</v>
          </cell>
          <cell r="F122">
            <v>2</v>
          </cell>
          <cell r="G122">
            <v>95303.2</v>
          </cell>
        </row>
        <row r="123">
          <cell r="C123" t="str">
            <v>Other Primary Biomass</v>
          </cell>
          <cell r="D123">
            <v>100000</v>
          </cell>
          <cell r="E123">
            <v>30</v>
          </cell>
          <cell r="F123">
            <v>4</v>
          </cell>
          <cell r="G123">
            <v>100030.39999999999</v>
          </cell>
        </row>
        <row r="124">
          <cell r="C124" t="str">
            <v>Charcoal</v>
          </cell>
          <cell r="D124">
            <v>112000</v>
          </cell>
          <cell r="E124">
            <v>200</v>
          </cell>
          <cell r="F124">
            <v>4</v>
          </cell>
          <cell r="G124">
            <v>112200.4</v>
          </cell>
        </row>
        <row r="125">
          <cell r="C125" t="str">
            <v>Biogasoline</v>
          </cell>
          <cell r="D125">
            <v>70800</v>
          </cell>
          <cell r="E125">
            <v>3</v>
          </cell>
          <cell r="F125">
            <v>0.6</v>
          </cell>
          <cell r="G125">
            <v>70803.06</v>
          </cell>
        </row>
        <row r="126">
          <cell r="C126" t="str">
            <v>Biodiesels</v>
          </cell>
          <cell r="D126">
            <v>70800</v>
          </cell>
          <cell r="E126">
            <v>3</v>
          </cell>
          <cell r="F126">
            <v>0.6</v>
          </cell>
          <cell r="G126">
            <v>70803.06</v>
          </cell>
        </row>
        <row r="127">
          <cell r="C127" t="str">
            <v>Other Liquid Biofuels</v>
          </cell>
          <cell r="D127">
            <v>79600</v>
          </cell>
          <cell r="E127">
            <v>3</v>
          </cell>
          <cell r="F127">
            <v>0.6</v>
          </cell>
          <cell r="G127">
            <v>79603.06</v>
          </cell>
        </row>
        <row r="128">
          <cell r="C128" t="str">
            <v>Landfill Gas</v>
          </cell>
          <cell r="D128">
            <v>54600</v>
          </cell>
          <cell r="E128">
            <v>1</v>
          </cell>
          <cell r="F128">
            <v>0.1</v>
          </cell>
          <cell r="G128">
            <v>54601.01</v>
          </cell>
        </row>
        <row r="129">
          <cell r="C129" t="str">
            <v>Sludge Gas</v>
          </cell>
          <cell r="D129">
            <v>54600</v>
          </cell>
          <cell r="E129">
            <v>1</v>
          </cell>
          <cell r="F129">
            <v>0.1</v>
          </cell>
          <cell r="G129">
            <v>54601.01</v>
          </cell>
        </row>
        <row r="130">
          <cell r="C130" t="str">
            <v>Other Biogas</v>
          </cell>
          <cell r="D130">
            <v>54600</v>
          </cell>
          <cell r="E130">
            <v>1</v>
          </cell>
          <cell r="F130">
            <v>0.1</v>
          </cell>
          <cell r="G130">
            <v>54601.01</v>
          </cell>
        </row>
        <row r="131">
          <cell r="C131" t="str">
            <v>Municipal Wates (bio)</v>
          </cell>
          <cell r="D131">
            <v>100000</v>
          </cell>
          <cell r="E131">
            <v>30</v>
          </cell>
          <cell r="F131">
            <v>4</v>
          </cell>
          <cell r="G131">
            <v>100030.39999999999</v>
          </cell>
        </row>
        <row r="136">
          <cell r="C136" t="str">
            <v>World</v>
          </cell>
          <cell r="D136">
            <v>0.50485579999999997</v>
          </cell>
        </row>
        <row r="137">
          <cell r="C137" t="str">
            <v>OECD North America</v>
          </cell>
          <cell r="D137">
            <v>0.513069</v>
          </cell>
        </row>
        <row r="138">
          <cell r="C138" t="str">
            <v>OECD Pacific</v>
          </cell>
          <cell r="D138">
            <v>0.49541099999999999</v>
          </cell>
        </row>
        <row r="139">
          <cell r="C139" t="str">
            <v>OECD Europe</v>
          </cell>
          <cell r="D139">
            <v>0.33866099999999999</v>
          </cell>
        </row>
        <row r="140">
          <cell r="C140" t="str">
            <v>Africa</v>
          </cell>
          <cell r="D140">
            <v>0.64548800000000006</v>
          </cell>
        </row>
        <row r="141">
          <cell r="C141" t="str">
            <v>Latin America</v>
          </cell>
          <cell r="D141">
            <v>0.19358649999999999</v>
          </cell>
        </row>
        <row r="142">
          <cell r="C142" t="str">
            <v>Middle East</v>
          </cell>
          <cell r="D142">
            <v>0.67047370000000006</v>
          </cell>
        </row>
        <row r="143">
          <cell r="C143" t="str">
            <v>Non-OECD Europe</v>
          </cell>
          <cell r="D143">
            <v>0.4988224</v>
          </cell>
        </row>
        <row r="144">
          <cell r="C144" t="str">
            <v>Former USSR</v>
          </cell>
          <cell r="D144">
            <v>0.3406189</v>
          </cell>
        </row>
        <row r="145">
          <cell r="C145" t="str">
            <v>Asia (excluding China)</v>
          </cell>
          <cell r="D145">
            <v>0.7293463</v>
          </cell>
        </row>
        <row r="146">
          <cell r="C146" t="str">
            <v>Albania</v>
          </cell>
          <cell r="D146">
            <v>3.2440199999999995E-2</v>
          </cell>
        </row>
        <row r="147">
          <cell r="C147" t="str">
            <v>Algeria</v>
          </cell>
          <cell r="D147">
            <v>0.68811820000000001</v>
          </cell>
        </row>
        <row r="148">
          <cell r="C148" t="str">
            <v>Angola</v>
          </cell>
          <cell r="D148">
            <v>9.8200400000000007E-2</v>
          </cell>
        </row>
        <row r="149">
          <cell r="C149" t="str">
            <v>Argentina</v>
          </cell>
          <cell r="D149">
            <v>0.30336960000000002</v>
          </cell>
        </row>
        <row r="150">
          <cell r="C150" t="str">
            <v>Armenia</v>
          </cell>
          <cell r="D150">
            <v>0.13829089999999999</v>
          </cell>
        </row>
        <row r="151">
          <cell r="C151" t="str">
            <v>Australia</v>
          </cell>
          <cell r="D151">
            <v>0.9205270000000001</v>
          </cell>
        </row>
        <row r="152">
          <cell r="C152" t="str">
            <v>Austria</v>
          </cell>
          <cell r="D152">
            <v>0.21447099999999999</v>
          </cell>
        </row>
        <row r="153">
          <cell r="C153" t="str">
            <v>Azerbaijan</v>
          </cell>
          <cell r="D153">
            <v>0.47347519999999998</v>
          </cell>
        </row>
        <row r="154">
          <cell r="C154" t="str">
            <v>Bahrain</v>
          </cell>
          <cell r="D154">
            <v>0.82486369999999998</v>
          </cell>
        </row>
        <row r="155">
          <cell r="C155" t="str">
            <v>Bangladesh</v>
          </cell>
          <cell r="D155">
            <v>0.58433079999999993</v>
          </cell>
        </row>
        <row r="156">
          <cell r="C156" t="str">
            <v>Belarus</v>
          </cell>
          <cell r="D156">
            <v>0.2963771</v>
          </cell>
        </row>
        <row r="157">
          <cell r="C157" t="str">
            <v>Belgium</v>
          </cell>
          <cell r="D157">
            <v>0.26003599999999999</v>
          </cell>
        </row>
        <row r="158">
          <cell r="C158" t="str">
            <v>Benin</v>
          </cell>
          <cell r="D158">
            <v>0.69621259999999996</v>
          </cell>
        </row>
        <row r="159">
          <cell r="C159" t="str">
            <v>Bolivia</v>
          </cell>
          <cell r="D159">
            <v>0.5049688</v>
          </cell>
        </row>
        <row r="160">
          <cell r="C160" t="str">
            <v>Bosnia and Herzegovina</v>
          </cell>
          <cell r="D160">
            <v>0.80195799999999995</v>
          </cell>
        </row>
        <row r="161">
          <cell r="C161" t="str">
            <v>Botswana</v>
          </cell>
          <cell r="D161">
            <v>1.8514538999999999</v>
          </cell>
        </row>
        <row r="162">
          <cell r="C162" t="str">
            <v>Brazil</v>
          </cell>
          <cell r="D162">
            <v>8.1437599999999999E-2</v>
          </cell>
        </row>
        <row r="163">
          <cell r="C163" t="str">
            <v>Brunei Darussalam</v>
          </cell>
          <cell r="D163">
            <v>0.82100490000000004</v>
          </cell>
        </row>
        <row r="164">
          <cell r="C164" t="str">
            <v>Bulgaria</v>
          </cell>
          <cell r="D164">
            <v>0.44796179999999997</v>
          </cell>
        </row>
        <row r="165">
          <cell r="C165" t="str">
            <v>Cambodia</v>
          </cell>
          <cell r="D165">
            <v>1.0049344</v>
          </cell>
        </row>
        <row r="166">
          <cell r="C166" t="str">
            <v>Cameroon</v>
          </cell>
          <cell r="D166">
            <v>4.2535699999999996E-2</v>
          </cell>
        </row>
        <row r="167">
          <cell r="C167" t="str">
            <v>Canada</v>
          </cell>
          <cell r="D167">
            <v>0.18417900000000001</v>
          </cell>
        </row>
        <row r="168">
          <cell r="C168" t="str">
            <v>Chile</v>
          </cell>
          <cell r="D168">
            <v>0.29424250000000002</v>
          </cell>
        </row>
        <row r="169">
          <cell r="C169" t="str">
            <v>People's Republic of China</v>
          </cell>
          <cell r="D169">
            <v>0.7875875</v>
          </cell>
        </row>
        <row r="170">
          <cell r="C170" t="str">
            <v>Chinese Taipei</v>
          </cell>
          <cell r="D170">
            <v>0.65888190000000002</v>
          </cell>
        </row>
        <row r="171">
          <cell r="C171" t="str">
            <v>Colombia</v>
          </cell>
          <cell r="D171">
            <v>0.14961720000000001</v>
          </cell>
        </row>
        <row r="172">
          <cell r="C172" t="str">
            <v>Congo</v>
          </cell>
          <cell r="D172">
            <v>0.1023289</v>
          </cell>
        </row>
        <row r="173">
          <cell r="C173" t="str">
            <v>Democratic Republic of Congo</v>
          </cell>
          <cell r="D173">
            <v>2.7816E-3</v>
          </cell>
        </row>
        <row r="174">
          <cell r="C174" t="str">
            <v>Costa Rica</v>
          </cell>
          <cell r="D174">
            <v>4.7398499999999996E-2</v>
          </cell>
        </row>
        <row r="175">
          <cell r="C175" t="str">
            <v>Côte d'Ivoire</v>
          </cell>
          <cell r="D175">
            <v>0.43621719999999997</v>
          </cell>
        </row>
        <row r="176">
          <cell r="C176" t="str">
            <v>Croatia</v>
          </cell>
          <cell r="D176">
            <v>0.31839800000000001</v>
          </cell>
        </row>
        <row r="177">
          <cell r="C177" t="str">
            <v>Cuba</v>
          </cell>
          <cell r="D177">
            <v>1.0194388999999999</v>
          </cell>
        </row>
        <row r="178">
          <cell r="C178" t="str">
            <v>Cyprus</v>
          </cell>
          <cell r="D178">
            <v>0.75828020000000007</v>
          </cell>
        </row>
        <row r="179">
          <cell r="C179" t="str">
            <v>Czech Republic</v>
          </cell>
          <cell r="D179">
            <v>0.52662900000000001</v>
          </cell>
        </row>
        <row r="180">
          <cell r="C180" t="str">
            <v>Denmark</v>
          </cell>
          <cell r="D180">
            <v>0.341339</v>
          </cell>
        </row>
        <row r="181">
          <cell r="C181" t="str">
            <v>Dominican Republic</v>
          </cell>
          <cell r="D181">
            <v>0.6238551</v>
          </cell>
        </row>
        <row r="182">
          <cell r="C182" t="str">
            <v>Ecuador</v>
          </cell>
          <cell r="D182">
            <v>0.3957349</v>
          </cell>
        </row>
        <row r="183">
          <cell r="C183" t="str">
            <v>Egypt</v>
          </cell>
          <cell r="D183">
            <v>0.46980840000000001</v>
          </cell>
        </row>
        <row r="184">
          <cell r="C184" t="str">
            <v>El Salvador</v>
          </cell>
          <cell r="D184">
            <v>0.2167277</v>
          </cell>
        </row>
        <row r="185">
          <cell r="C185" t="str">
            <v>Eritrea</v>
          </cell>
          <cell r="D185">
            <v>0.69034200000000001</v>
          </cell>
        </row>
        <row r="186">
          <cell r="C186" t="str">
            <v>Estonia</v>
          </cell>
          <cell r="D186">
            <v>0.64015809999999995</v>
          </cell>
        </row>
        <row r="187">
          <cell r="C187" t="str">
            <v>Ethiopia</v>
          </cell>
          <cell r="D187">
            <v>2.9140000000000004E-3</v>
          </cell>
        </row>
        <row r="188">
          <cell r="C188" t="str">
            <v>Finland</v>
          </cell>
          <cell r="D188">
            <v>0.241592</v>
          </cell>
        </row>
        <row r="189">
          <cell r="C189" t="str">
            <v>France</v>
          </cell>
          <cell r="D189">
            <v>8.4953000000000001E-2</v>
          </cell>
        </row>
        <row r="190">
          <cell r="C190" t="str">
            <v>Gabon</v>
          </cell>
          <cell r="D190">
            <v>0.34666050000000004</v>
          </cell>
        </row>
        <row r="191">
          <cell r="C191" t="str">
            <v>Georgia</v>
          </cell>
          <cell r="D191">
            <v>0.14496780000000001</v>
          </cell>
        </row>
        <row r="192">
          <cell r="C192" t="str">
            <v>Germany</v>
          </cell>
          <cell r="D192">
            <v>0.40362900000000002</v>
          </cell>
        </row>
        <row r="193">
          <cell r="C193" t="str">
            <v>Ghana</v>
          </cell>
          <cell r="D193">
            <v>0.27569850000000001</v>
          </cell>
        </row>
        <row r="194">
          <cell r="C194" t="str">
            <v>Gibraltar</v>
          </cell>
          <cell r="D194">
            <v>0.73043050000000009</v>
          </cell>
        </row>
        <row r="195">
          <cell r="C195" t="str">
            <v>Greece</v>
          </cell>
          <cell r="D195">
            <v>0.72496400000000005</v>
          </cell>
        </row>
        <row r="196">
          <cell r="C196" t="str">
            <v>Guatemala</v>
          </cell>
          <cell r="D196">
            <v>0.33441470000000001</v>
          </cell>
        </row>
        <row r="197">
          <cell r="C197" t="str">
            <v>Haiti</v>
          </cell>
          <cell r="D197">
            <v>0.30518250000000002</v>
          </cell>
        </row>
        <row r="198">
          <cell r="C198" t="str">
            <v>Honduras</v>
          </cell>
          <cell r="D198">
            <v>0.41325259999999997</v>
          </cell>
        </row>
        <row r="199">
          <cell r="C199" t="str">
            <v>Hong Kong, China</v>
          </cell>
          <cell r="D199">
            <v>0.85461260000000006</v>
          </cell>
        </row>
        <row r="200">
          <cell r="C200" t="str">
            <v>Hungary</v>
          </cell>
          <cell r="D200">
            <v>0.34392700000000004</v>
          </cell>
        </row>
        <row r="201">
          <cell r="C201" t="str">
            <v>Iceland</v>
          </cell>
          <cell r="D201">
            <v>5.4200000000000006E-4</v>
          </cell>
        </row>
        <row r="202">
          <cell r="C202" t="str">
            <v>India</v>
          </cell>
          <cell r="D202">
            <v>0.9440385</v>
          </cell>
        </row>
        <row r="203">
          <cell r="C203" t="str">
            <v>Indonesia</v>
          </cell>
          <cell r="D203">
            <v>0.67672529999999997</v>
          </cell>
        </row>
        <row r="204">
          <cell r="C204" t="str">
            <v>Islamic Republic of Iran</v>
          </cell>
          <cell r="D204">
            <v>0.51435469999999994</v>
          </cell>
        </row>
        <row r="205">
          <cell r="C205" t="str">
            <v>Iraq</v>
          </cell>
          <cell r="D205">
            <v>0.70090959999999991</v>
          </cell>
        </row>
        <row r="206">
          <cell r="C206" t="str">
            <v>Ireland</v>
          </cell>
          <cell r="D206">
            <v>0.53533299999999995</v>
          </cell>
        </row>
        <row r="207">
          <cell r="C207" t="str">
            <v>Israel</v>
          </cell>
          <cell r="D207">
            <v>0.77365099999999998</v>
          </cell>
        </row>
        <row r="208">
          <cell r="C208" t="str">
            <v>Italy</v>
          </cell>
          <cell r="D208">
            <v>0.40351199999999998</v>
          </cell>
        </row>
        <row r="209">
          <cell r="C209" t="str">
            <v>Jamaica</v>
          </cell>
          <cell r="D209">
            <v>0.82975509999999997</v>
          </cell>
        </row>
        <row r="210">
          <cell r="C210" t="str">
            <v>Japan</v>
          </cell>
          <cell r="D210">
            <v>0.418346</v>
          </cell>
        </row>
        <row r="211">
          <cell r="C211" t="str">
            <v>Jordan</v>
          </cell>
          <cell r="D211">
            <v>0.60187390000000007</v>
          </cell>
        </row>
        <row r="212">
          <cell r="C212" t="str">
            <v>Kazakhstan</v>
          </cell>
          <cell r="D212">
            <v>0.52002650000000006</v>
          </cell>
        </row>
        <row r="213">
          <cell r="C213" t="str">
            <v>Kenya</v>
          </cell>
          <cell r="D213">
            <v>0.31749050000000001</v>
          </cell>
        </row>
        <row r="214">
          <cell r="C214" t="str">
            <v>Dem. People's Republic of Korea</v>
          </cell>
          <cell r="D214">
            <v>0.53319550000000004</v>
          </cell>
        </row>
        <row r="215">
          <cell r="C215" t="str">
            <v>Korea</v>
          </cell>
          <cell r="D215">
            <v>0.464337</v>
          </cell>
        </row>
        <row r="216">
          <cell r="C216" t="str">
            <v>Kuwait</v>
          </cell>
          <cell r="D216">
            <v>0.64291679999999995</v>
          </cell>
        </row>
        <row r="217">
          <cell r="C217" t="str">
            <v>Kyrgyzstan</v>
          </cell>
          <cell r="D217">
            <v>7.9160999999999995E-2</v>
          </cell>
        </row>
        <row r="218">
          <cell r="C218" t="str">
            <v>Latvia</v>
          </cell>
          <cell r="D218">
            <v>0.16738810000000001</v>
          </cell>
        </row>
        <row r="219">
          <cell r="C219" t="str">
            <v>Lebanon</v>
          </cell>
          <cell r="D219">
            <v>0.69464970000000004</v>
          </cell>
        </row>
        <row r="220">
          <cell r="C220" t="str">
            <v>Libya</v>
          </cell>
          <cell r="D220">
            <v>0.87882860000000007</v>
          </cell>
        </row>
        <row r="221">
          <cell r="C221" t="str">
            <v>Lithuania</v>
          </cell>
          <cell r="D221">
            <v>0.13948199999999999</v>
          </cell>
        </row>
        <row r="222">
          <cell r="C222" t="str">
            <v>Luxembourg</v>
          </cell>
          <cell r="D222">
            <v>0.32604700000000003</v>
          </cell>
        </row>
        <row r="223">
          <cell r="C223" t="str">
            <v>FYR of Macedonia</v>
          </cell>
          <cell r="D223">
            <v>0.61890590000000001</v>
          </cell>
        </row>
        <row r="224">
          <cell r="C224" t="str">
            <v>Malaysia</v>
          </cell>
          <cell r="D224">
            <v>0.6553582</v>
          </cell>
        </row>
        <row r="225">
          <cell r="C225" t="str">
            <v>Malta</v>
          </cell>
          <cell r="D225">
            <v>0.83408540000000009</v>
          </cell>
        </row>
        <row r="226">
          <cell r="C226" t="str">
            <v>Mexico</v>
          </cell>
          <cell r="D226">
            <v>0.54128500000000002</v>
          </cell>
        </row>
        <row r="227">
          <cell r="C227" t="str">
            <v>Republic of Moldova</v>
          </cell>
          <cell r="D227">
            <v>0.47556799999999999</v>
          </cell>
        </row>
        <row r="228">
          <cell r="C228" t="str">
            <v>Mongolia</v>
          </cell>
          <cell r="D228">
            <v>0.52330999999999994</v>
          </cell>
        </row>
        <row r="229">
          <cell r="C229" t="str">
            <v>Morocco</v>
          </cell>
          <cell r="D229">
            <v>0.70790120000000001</v>
          </cell>
        </row>
        <row r="230">
          <cell r="C230" t="str">
            <v>Mozambique</v>
          </cell>
          <cell r="D230">
            <v>1.0178000000000001E-3</v>
          </cell>
        </row>
        <row r="231">
          <cell r="C231" t="str">
            <v>Myanmar</v>
          </cell>
          <cell r="D231">
            <v>0.3382211</v>
          </cell>
        </row>
        <row r="232">
          <cell r="C232" t="str">
            <v>Namibia</v>
          </cell>
          <cell r="D232">
            <v>7.5646900000000003E-2</v>
          </cell>
        </row>
        <row r="233">
          <cell r="C233" t="str">
            <v>Nepal</v>
          </cell>
          <cell r="D233">
            <v>3.7995999999999998E-3</v>
          </cell>
        </row>
        <row r="234">
          <cell r="C234" t="str">
            <v>Netherlands</v>
          </cell>
          <cell r="D234">
            <v>0.39431499999999997</v>
          </cell>
        </row>
        <row r="235">
          <cell r="C235" t="str">
            <v>Netherlands Antilles</v>
          </cell>
          <cell r="D235">
            <v>0.7170685</v>
          </cell>
        </row>
        <row r="236">
          <cell r="C236" t="str">
            <v>New Zealand</v>
          </cell>
          <cell r="D236">
            <v>0.30910000000000004</v>
          </cell>
        </row>
        <row r="237">
          <cell r="C237" t="str">
            <v>Nicaragua</v>
          </cell>
          <cell r="D237">
            <v>0.54976369999999997</v>
          </cell>
        </row>
        <row r="238">
          <cell r="C238" t="str">
            <v>Nigeria</v>
          </cell>
          <cell r="D238">
            <v>0.38613780000000003</v>
          </cell>
        </row>
        <row r="239">
          <cell r="C239" t="str">
            <v>Norway</v>
          </cell>
          <cell r="D239">
            <v>6.8669999999999998E-3</v>
          </cell>
        </row>
        <row r="240">
          <cell r="C240" t="str">
            <v>Oman</v>
          </cell>
          <cell r="D240">
            <v>0.85611270000000006</v>
          </cell>
        </row>
        <row r="241">
          <cell r="C241" t="str">
            <v>Pakistan</v>
          </cell>
          <cell r="D241">
            <v>0.41280820000000001</v>
          </cell>
        </row>
        <row r="242">
          <cell r="C242" t="str">
            <v>Panama</v>
          </cell>
          <cell r="D242">
            <v>0.22884389999999999</v>
          </cell>
        </row>
        <row r="243">
          <cell r="C243" t="str">
            <v>Paraguay</v>
          </cell>
          <cell r="D243">
            <v>0</v>
          </cell>
        </row>
        <row r="244">
          <cell r="C244" t="str">
            <v>Peru</v>
          </cell>
          <cell r="D244">
            <v>0.17232349999999999</v>
          </cell>
        </row>
        <row r="245">
          <cell r="C245" t="str">
            <v>Philippines</v>
          </cell>
          <cell r="D245">
            <v>0.43500610000000001</v>
          </cell>
        </row>
        <row r="246">
          <cell r="C246" t="str">
            <v>Poland</v>
          </cell>
          <cell r="D246">
            <v>0.65864999999999996</v>
          </cell>
        </row>
        <row r="247">
          <cell r="C247" t="str">
            <v>Portugal</v>
          </cell>
          <cell r="D247">
            <v>0.41642399999999996</v>
          </cell>
        </row>
        <row r="248">
          <cell r="C248" t="str">
            <v>Qatar</v>
          </cell>
          <cell r="D248">
            <v>0.62571410000000005</v>
          </cell>
        </row>
        <row r="249">
          <cell r="C249" t="str">
            <v>Romania</v>
          </cell>
          <cell r="D249">
            <v>0.42860500000000001</v>
          </cell>
        </row>
        <row r="250">
          <cell r="C250" t="str">
            <v>Russia</v>
          </cell>
          <cell r="D250">
            <v>0.32856540000000001</v>
          </cell>
        </row>
        <row r="251">
          <cell r="C251" t="str">
            <v>Saudi Arabia</v>
          </cell>
          <cell r="D251">
            <v>0.75537339999999997</v>
          </cell>
        </row>
        <row r="252">
          <cell r="C252" t="str">
            <v>Senegal</v>
          </cell>
          <cell r="D252">
            <v>0.72589490000000001</v>
          </cell>
        </row>
        <row r="253">
          <cell r="C253" t="str">
            <v>Serbia</v>
          </cell>
          <cell r="D253">
            <v>0.71559110000000004</v>
          </cell>
        </row>
        <row r="254">
          <cell r="C254" t="str">
            <v>Singapore</v>
          </cell>
          <cell r="D254">
            <v>0.53605859999999994</v>
          </cell>
        </row>
        <row r="255">
          <cell r="C255" t="str">
            <v>Slovak Republic</v>
          </cell>
          <cell r="D255">
            <v>0.223412</v>
          </cell>
        </row>
        <row r="256">
          <cell r="C256" t="str">
            <v xml:space="preserve">Slovenia </v>
          </cell>
          <cell r="D256">
            <v>0.33175889999999997</v>
          </cell>
        </row>
        <row r="257">
          <cell r="C257" t="str">
            <v>South Africa</v>
          </cell>
          <cell r="D257">
            <v>0.86899959999999998</v>
          </cell>
        </row>
        <row r="258">
          <cell r="C258" t="str">
            <v>Spain</v>
          </cell>
          <cell r="D258">
            <v>0.34979399999999999</v>
          </cell>
        </row>
        <row r="259">
          <cell r="C259" t="str">
            <v>Sri Lanka</v>
          </cell>
          <cell r="D259">
            <v>0.31372440000000001</v>
          </cell>
        </row>
        <row r="260">
          <cell r="C260" t="str">
            <v>Sudan</v>
          </cell>
          <cell r="D260">
            <v>0.61391830000000003</v>
          </cell>
        </row>
        <row r="261">
          <cell r="C261" t="str">
            <v>Sweden</v>
          </cell>
          <cell r="D261">
            <v>4.7966000000000002E-2</v>
          </cell>
        </row>
        <row r="262">
          <cell r="C262" t="str">
            <v>Switzerland</v>
          </cell>
          <cell r="D262">
            <v>2.5722999999999999E-2</v>
          </cell>
        </row>
        <row r="263">
          <cell r="C263" t="str">
            <v>Syria</v>
          </cell>
          <cell r="D263">
            <v>0.60439919999999991</v>
          </cell>
        </row>
        <row r="264">
          <cell r="C264" t="str">
            <v>Tajikistan</v>
          </cell>
          <cell r="D264">
            <v>2.8018299999999999E-2</v>
          </cell>
        </row>
        <row r="265">
          <cell r="C265" t="str">
            <v>United Republic of Tanzania</v>
          </cell>
          <cell r="D265">
            <v>0.31551220000000002</v>
          </cell>
        </row>
        <row r="266">
          <cell r="C266" t="str">
            <v>Thailand</v>
          </cell>
          <cell r="D266">
            <v>0.5109283</v>
          </cell>
        </row>
        <row r="267">
          <cell r="C267" t="str">
            <v>Togo</v>
          </cell>
          <cell r="D267">
            <v>0.45866969999999996</v>
          </cell>
        </row>
        <row r="268">
          <cell r="C268" t="str">
            <v>Trinidad and Tobago</v>
          </cell>
          <cell r="D268">
            <v>0.7243096</v>
          </cell>
        </row>
        <row r="269">
          <cell r="C269" t="str">
            <v>Tunisia</v>
          </cell>
          <cell r="D269">
            <v>0.54585859999999997</v>
          </cell>
        </row>
        <row r="270">
          <cell r="C270" t="str">
            <v>Turkey</v>
          </cell>
          <cell r="D270">
            <v>0.438222</v>
          </cell>
        </row>
        <row r="271">
          <cell r="C271" t="str">
            <v>Turkmenistan</v>
          </cell>
          <cell r="D271">
            <v>0.79513040000000001</v>
          </cell>
        </row>
        <row r="272">
          <cell r="C272" t="str">
            <v>Ukraine</v>
          </cell>
          <cell r="D272">
            <v>0.34432879999999999</v>
          </cell>
        </row>
        <row r="273">
          <cell r="C273" t="str">
            <v>United Arab Emirates</v>
          </cell>
          <cell r="D273">
            <v>0.81998559999999998</v>
          </cell>
        </row>
        <row r="274">
          <cell r="C274" t="str">
            <v>United Kingdom</v>
          </cell>
          <cell r="D274">
            <v>0.50473299999999999</v>
          </cell>
        </row>
        <row r="275">
          <cell r="C275" t="str">
            <v>United States</v>
          </cell>
          <cell r="D275">
            <v>0.55865999999999993</v>
          </cell>
        </row>
        <row r="276">
          <cell r="C276" t="str">
            <v>Uruguay</v>
          </cell>
          <cell r="D276">
            <v>0.2963499</v>
          </cell>
        </row>
        <row r="277">
          <cell r="C277" t="str">
            <v>Uzbekistan</v>
          </cell>
          <cell r="D277">
            <v>0.44636000000000003</v>
          </cell>
        </row>
        <row r="278">
          <cell r="C278" t="str">
            <v>Venezuela</v>
          </cell>
          <cell r="D278">
            <v>0.20844220000000002</v>
          </cell>
        </row>
        <row r="279">
          <cell r="C279" t="str">
            <v>Vietnam</v>
          </cell>
          <cell r="D279">
            <v>0.39631379999999999</v>
          </cell>
        </row>
        <row r="280">
          <cell r="C280" t="str">
            <v>Yemen</v>
          </cell>
          <cell r="D280">
            <v>0.82303110000000002</v>
          </cell>
        </row>
        <row r="281">
          <cell r="C281" t="str">
            <v>Zambia</v>
          </cell>
          <cell r="D281">
            <v>6.7573999999999993E-3</v>
          </cell>
        </row>
        <row r="282">
          <cell r="C282" t="str">
            <v>Zimbabwe</v>
          </cell>
          <cell r="D282">
            <v>0.57276890000000003</v>
          </cell>
        </row>
        <row r="283">
          <cell r="C283" t="str">
            <v>Other Africa</v>
          </cell>
          <cell r="D283">
            <v>0.48861130000000003</v>
          </cell>
        </row>
        <row r="284">
          <cell r="C284" t="str">
            <v>Other Latin America</v>
          </cell>
          <cell r="D284">
            <v>0.50899280000000002</v>
          </cell>
        </row>
        <row r="285">
          <cell r="C285" t="str">
            <v>Other Asia</v>
          </cell>
          <cell r="D285">
            <v>0.3078166</v>
          </cell>
        </row>
      </sheetData>
      <sheetData sheetId="6"/>
      <sheetData sheetId="7">
        <row r="7">
          <cell r="C7" t="str">
            <v>Africa</v>
          </cell>
          <cell r="D7">
            <v>37</v>
          </cell>
        </row>
        <row r="8">
          <cell r="C8" t="str">
            <v>Egypt</v>
          </cell>
          <cell r="D8">
            <v>34</v>
          </cell>
        </row>
        <row r="9">
          <cell r="C9" t="str">
            <v>Asia, Middle East, Latin America</v>
          </cell>
          <cell r="D9">
            <v>40</v>
          </cell>
        </row>
        <row r="10">
          <cell r="C10" t="str">
            <v>India</v>
          </cell>
          <cell r="D10">
            <v>34</v>
          </cell>
        </row>
        <row r="11">
          <cell r="C11" t="str">
            <v>West Bank and Gaza Strip</v>
          </cell>
          <cell r="D11">
            <v>50</v>
          </cell>
        </row>
        <row r="12">
          <cell r="C12" t="str">
            <v>Japan</v>
          </cell>
          <cell r="D12">
            <v>42</v>
          </cell>
        </row>
        <row r="13">
          <cell r="C13" t="str">
            <v>Brazil</v>
          </cell>
          <cell r="D13">
            <v>50</v>
          </cell>
        </row>
        <row r="14">
          <cell r="C14" t="str">
            <v>Canada, Europe, Russia, Oceania</v>
          </cell>
          <cell r="D14">
            <v>60</v>
          </cell>
        </row>
        <row r="15">
          <cell r="C15" t="str">
            <v>Denmark</v>
          </cell>
          <cell r="D15">
            <v>62</v>
          </cell>
        </row>
        <row r="16">
          <cell r="C16" t="str">
            <v>Germany</v>
          </cell>
          <cell r="D16">
            <v>62</v>
          </cell>
        </row>
        <row r="17">
          <cell r="C17" t="str">
            <v>Greece</v>
          </cell>
          <cell r="D17">
            <v>57</v>
          </cell>
        </row>
        <row r="18">
          <cell r="C18" t="str">
            <v>Italy</v>
          </cell>
          <cell r="D18">
            <v>60</v>
          </cell>
        </row>
        <row r="19">
          <cell r="C19" t="str">
            <v>Sweden</v>
          </cell>
          <cell r="D19">
            <v>75</v>
          </cell>
        </row>
        <row r="20">
          <cell r="C20" t="str">
            <v>Turkey</v>
          </cell>
          <cell r="D20">
            <v>38</v>
          </cell>
        </row>
        <row r="21">
          <cell r="C21" t="str">
            <v>United States</v>
          </cell>
          <cell r="D21">
            <v>85</v>
          </cell>
        </row>
        <row r="26">
          <cell r="D26">
            <v>0.6</v>
          </cell>
        </row>
        <row r="31">
          <cell r="C31" t="str">
            <v>Untreated System</v>
          </cell>
        </row>
        <row r="32">
          <cell r="C32" t="str">
            <v>Sea, river, lake discharge</v>
          </cell>
          <cell r="D32">
            <v>0.1</v>
          </cell>
          <cell r="E32" t="str">
            <v>0-0.2</v>
          </cell>
          <cell r="F32" t="str">
            <v>None</v>
          </cell>
        </row>
        <row r="33">
          <cell r="C33" t="str">
            <v>Stagnant river</v>
          </cell>
          <cell r="D33">
            <v>0.5</v>
          </cell>
          <cell r="E33" t="str">
            <v>0.4-0.8</v>
          </cell>
          <cell r="F33" t="str">
            <v>None</v>
          </cell>
        </row>
        <row r="34">
          <cell r="C34" t="str">
            <v>Flowing sewer (open or closed)</v>
          </cell>
          <cell r="D34">
            <v>0</v>
          </cell>
          <cell r="E34">
            <v>0</v>
          </cell>
          <cell r="F34" t="str">
            <v>Sewer</v>
          </cell>
        </row>
        <row r="35">
          <cell r="C35" t="str">
            <v>Treated System</v>
          </cell>
        </row>
        <row r="36">
          <cell r="C36" t="str">
            <v>Centralized, aerobic trearment plant (well managed)</v>
          </cell>
          <cell r="D36">
            <v>0</v>
          </cell>
          <cell r="E36" t="str">
            <v>0-0.1</v>
          </cell>
          <cell r="F36" t="str">
            <v>Sewer</v>
          </cell>
        </row>
        <row r="37">
          <cell r="C37" t="str">
            <v>Centralized, aerobic trearment plant (not well managed)</v>
          </cell>
          <cell r="D37">
            <v>0.3</v>
          </cell>
          <cell r="E37" t="str">
            <v>0.2-0.4</v>
          </cell>
          <cell r="F37" t="str">
            <v>Sewer</v>
          </cell>
        </row>
        <row r="38">
          <cell r="C38" t="str">
            <v>Anaeerobic digester for sludge</v>
          </cell>
          <cell r="D38">
            <v>0.8</v>
          </cell>
          <cell r="E38" t="str">
            <v>0.8-1.0</v>
          </cell>
          <cell r="F38" t="str">
            <v>Sewer</v>
          </cell>
        </row>
        <row r="39">
          <cell r="C39" t="str">
            <v>Anerobic reactor</v>
          </cell>
          <cell r="D39">
            <v>0.8</v>
          </cell>
          <cell r="E39" t="str">
            <v>0.8-1.0</v>
          </cell>
          <cell r="F39" t="str">
            <v>Sewer</v>
          </cell>
        </row>
        <row r="40">
          <cell r="C40" t="str">
            <v>Anaerobic shallow lagoon</v>
          </cell>
          <cell r="D40">
            <v>0.2</v>
          </cell>
          <cell r="E40" t="str">
            <v>0-0.3</v>
          </cell>
          <cell r="F40" t="str">
            <v>Sewer</v>
          </cell>
        </row>
        <row r="41">
          <cell r="C41" t="str">
            <v>Anaerobic deep lagoon</v>
          </cell>
          <cell r="D41">
            <v>0.8</v>
          </cell>
          <cell r="E41" t="str">
            <v>0.8-1.0</v>
          </cell>
          <cell r="F41" t="str">
            <v>Sewer</v>
          </cell>
        </row>
        <row r="42">
          <cell r="C42" t="str">
            <v>Septic system</v>
          </cell>
          <cell r="D42">
            <v>0.5</v>
          </cell>
          <cell r="E42">
            <v>0.5</v>
          </cell>
          <cell r="F42" t="str">
            <v>Septic</v>
          </cell>
        </row>
        <row r="43">
          <cell r="C43" t="str">
            <v>Latrine (dry climate, 3-5 users)</v>
          </cell>
          <cell r="D43">
            <v>0.1</v>
          </cell>
          <cell r="E43" t="str">
            <v>.05-.15</v>
          </cell>
          <cell r="F43" t="str">
            <v>Latrine</v>
          </cell>
        </row>
        <row r="44">
          <cell r="C44" t="str">
            <v>Latrine (dry climate,many users)</v>
          </cell>
          <cell r="D44">
            <v>0.5</v>
          </cell>
          <cell r="E44" t="str">
            <v>0.4-0.6</v>
          </cell>
          <cell r="F44" t="str">
            <v>Latrine</v>
          </cell>
        </row>
        <row r="45">
          <cell r="C45" t="str">
            <v>Latrine (wet climate)</v>
          </cell>
          <cell r="D45">
            <v>0.7</v>
          </cell>
          <cell r="E45" t="str">
            <v>0.7-1.0</v>
          </cell>
          <cell r="F45" t="str">
            <v>Latrine</v>
          </cell>
        </row>
        <row r="46">
          <cell r="C46" t="str">
            <v>Latrine (regular sediment removal for fertilizer)</v>
          </cell>
          <cell r="D46">
            <v>0.1</v>
          </cell>
          <cell r="E46">
            <v>0.1</v>
          </cell>
          <cell r="F46" t="str">
            <v>Latrine</v>
          </cell>
        </row>
        <row r="51">
          <cell r="C51" t="str">
            <v>Africa</v>
          </cell>
        </row>
        <row r="52">
          <cell r="C52" t="str">
            <v>Nigeria</v>
          </cell>
          <cell r="D52">
            <v>0.52</v>
          </cell>
          <cell r="E52">
            <v>0.1</v>
          </cell>
          <cell r="F52">
            <v>0.38</v>
          </cell>
          <cell r="G52">
            <v>0.20833333333333334</v>
          </cell>
          <cell r="H52">
            <v>0.79166666666666674</v>
          </cell>
        </row>
        <row r="53">
          <cell r="C53" t="str">
            <v>Egypt</v>
          </cell>
          <cell r="D53">
            <v>0.56999999999999995</v>
          </cell>
          <cell r="E53">
            <v>0.09</v>
          </cell>
          <cell r="F53">
            <v>0.34</v>
          </cell>
          <cell r="G53">
            <v>0.2093023255813953</v>
          </cell>
          <cell r="H53">
            <v>0.79069767441860461</v>
          </cell>
        </row>
        <row r="54">
          <cell r="C54" t="str">
            <v>Kenya</v>
          </cell>
          <cell r="D54">
            <v>0.62</v>
          </cell>
          <cell r="E54">
            <v>0.08</v>
          </cell>
          <cell r="F54">
            <v>0.3</v>
          </cell>
          <cell r="G54">
            <v>0.21052631578947367</v>
          </cell>
          <cell r="H54">
            <v>0.78947368421052633</v>
          </cell>
        </row>
        <row r="55">
          <cell r="C55" t="str">
            <v>South Africa</v>
          </cell>
          <cell r="D55">
            <v>0.39</v>
          </cell>
          <cell r="E55">
            <v>0.12</v>
          </cell>
          <cell r="F55">
            <v>0.49</v>
          </cell>
          <cell r="G55">
            <v>0.19672131147540983</v>
          </cell>
          <cell r="H55">
            <v>0.80327868852459017</v>
          </cell>
        </row>
        <row r="56">
          <cell r="C56" t="str">
            <v>Asia</v>
          </cell>
        </row>
        <row r="57">
          <cell r="C57" t="str">
            <v>China</v>
          </cell>
          <cell r="D57">
            <v>0.59</v>
          </cell>
          <cell r="E57">
            <v>0.12</v>
          </cell>
          <cell r="F57">
            <v>0.28999999999999998</v>
          </cell>
          <cell r="G57">
            <v>0.29268292682926828</v>
          </cell>
          <cell r="H57">
            <v>0.70731707317073167</v>
          </cell>
        </row>
        <row r="58">
          <cell r="C58" t="str">
            <v>India</v>
          </cell>
          <cell r="D58">
            <v>0.71</v>
          </cell>
          <cell r="E58">
            <v>0.06</v>
          </cell>
          <cell r="F58">
            <v>0.23</v>
          </cell>
          <cell r="G58">
            <v>0.2068965517241379</v>
          </cell>
          <cell r="H58">
            <v>0.79310344827586199</v>
          </cell>
        </row>
        <row r="59">
          <cell r="C59" t="str">
            <v>Indonesia</v>
          </cell>
          <cell r="D59">
            <v>0.54</v>
          </cell>
          <cell r="E59">
            <v>0.12</v>
          </cell>
          <cell r="F59">
            <v>0.34</v>
          </cell>
          <cell r="G59">
            <v>0.2608695652173913</v>
          </cell>
          <cell r="H59">
            <v>0.73913043478260876</v>
          </cell>
        </row>
        <row r="60">
          <cell r="C60" t="str">
            <v>Pakistan</v>
          </cell>
          <cell r="D60">
            <v>0.65</v>
          </cell>
          <cell r="E60">
            <v>7.0000000000000007E-2</v>
          </cell>
          <cell r="F60">
            <v>0.28000000000000003</v>
          </cell>
          <cell r="G60">
            <v>0.2</v>
          </cell>
          <cell r="H60">
            <v>0.8</v>
          </cell>
        </row>
        <row r="61">
          <cell r="C61" t="str">
            <v>Bangladesh</v>
          </cell>
          <cell r="D61">
            <v>0.72</v>
          </cell>
          <cell r="E61">
            <v>0.06</v>
          </cell>
          <cell r="F61">
            <v>0.22</v>
          </cell>
          <cell r="G61">
            <v>0.21428571428571425</v>
          </cell>
          <cell r="H61">
            <v>0.7857142857142857</v>
          </cell>
        </row>
        <row r="62">
          <cell r="C62" t="str">
            <v>Japan</v>
          </cell>
          <cell r="D62">
            <v>0.2</v>
          </cell>
          <cell r="E62">
            <v>0.8</v>
          </cell>
          <cell r="F62">
            <v>0</v>
          </cell>
          <cell r="G62">
            <v>1</v>
          </cell>
          <cell r="H62">
            <v>0</v>
          </cell>
        </row>
        <row r="63">
          <cell r="C63" t="str">
            <v>Europe</v>
          </cell>
        </row>
        <row r="64">
          <cell r="C64" t="str">
            <v>Russia</v>
          </cell>
          <cell r="D64">
            <v>0.27</v>
          </cell>
          <cell r="E64">
            <v>0.73</v>
          </cell>
          <cell r="F64">
            <v>0</v>
          </cell>
          <cell r="G64">
            <v>1</v>
          </cell>
          <cell r="H64">
            <v>0</v>
          </cell>
        </row>
        <row r="65">
          <cell r="C65" t="str">
            <v>Germany</v>
          </cell>
          <cell r="D65">
            <v>0.06</v>
          </cell>
          <cell r="E65">
            <v>0.94</v>
          </cell>
          <cell r="F65">
            <v>0</v>
          </cell>
          <cell r="G65">
            <v>1</v>
          </cell>
          <cell r="H65">
            <v>0</v>
          </cell>
        </row>
        <row r="66">
          <cell r="C66" t="str">
            <v>United Kingdom</v>
          </cell>
          <cell r="D66">
            <v>0.1</v>
          </cell>
          <cell r="E66">
            <v>0.9</v>
          </cell>
          <cell r="F66">
            <v>0</v>
          </cell>
          <cell r="G66">
            <v>1</v>
          </cell>
          <cell r="H66">
            <v>0</v>
          </cell>
        </row>
        <row r="67">
          <cell r="C67" t="str">
            <v>France</v>
          </cell>
          <cell r="D67">
            <v>0.24</v>
          </cell>
          <cell r="E67">
            <v>0.76</v>
          </cell>
          <cell r="F67">
            <v>0</v>
          </cell>
          <cell r="G67">
            <v>1</v>
          </cell>
          <cell r="H67">
            <v>0</v>
          </cell>
        </row>
        <row r="68">
          <cell r="C68" t="str">
            <v>Italy</v>
          </cell>
          <cell r="D68">
            <v>0.32</v>
          </cell>
          <cell r="E68">
            <v>0.68</v>
          </cell>
          <cell r="F68">
            <v>0</v>
          </cell>
          <cell r="G68">
            <v>1</v>
          </cell>
          <cell r="H68">
            <v>0</v>
          </cell>
        </row>
        <row r="69">
          <cell r="C69" t="str">
            <v>North America</v>
          </cell>
        </row>
        <row r="70">
          <cell r="C70" t="str">
            <v>United States</v>
          </cell>
          <cell r="D70">
            <v>0.22</v>
          </cell>
          <cell r="E70">
            <v>0.78</v>
          </cell>
          <cell r="F70">
            <v>0</v>
          </cell>
          <cell r="G70">
            <v>1</v>
          </cell>
          <cell r="H70">
            <v>0</v>
          </cell>
        </row>
        <row r="71">
          <cell r="C71" t="str">
            <v>Canada</v>
          </cell>
          <cell r="D71">
            <v>0.2</v>
          </cell>
          <cell r="E71">
            <v>0.8</v>
          </cell>
          <cell r="F71">
            <v>0</v>
          </cell>
          <cell r="G71">
            <v>1</v>
          </cell>
          <cell r="H71">
            <v>0</v>
          </cell>
        </row>
        <row r="72">
          <cell r="C72" t="str">
            <v>Mexico</v>
          </cell>
          <cell r="D72">
            <v>0.25</v>
          </cell>
          <cell r="E72">
            <v>0.19</v>
          </cell>
          <cell r="F72">
            <v>0.56000000000000005</v>
          </cell>
          <cell r="G72">
            <v>0.25333333333333335</v>
          </cell>
          <cell r="H72">
            <v>0.7466666666666667</v>
          </cell>
        </row>
        <row r="73">
          <cell r="C73" t="str">
            <v xml:space="preserve">Latin America </v>
          </cell>
        </row>
        <row r="74">
          <cell r="C74" t="str">
            <v>Brazil</v>
          </cell>
          <cell r="D74">
            <v>0.16</v>
          </cell>
          <cell r="E74">
            <v>0.25</v>
          </cell>
          <cell r="F74">
            <v>0.59</v>
          </cell>
          <cell r="G74">
            <v>0.29761904761904762</v>
          </cell>
          <cell r="H74">
            <v>0.70238095238095233</v>
          </cell>
        </row>
        <row r="75">
          <cell r="C75" t="str">
            <v>Oceania</v>
          </cell>
        </row>
        <row r="76">
          <cell r="C76" t="str">
            <v>Australia</v>
          </cell>
          <cell r="D76">
            <v>0.08</v>
          </cell>
          <cell r="E76">
            <v>0.92</v>
          </cell>
          <cell r="F76">
            <v>0</v>
          </cell>
          <cell r="G76">
            <v>1</v>
          </cell>
          <cell r="H76">
            <v>0</v>
          </cell>
        </row>
        <row r="77">
          <cell r="C77" t="str">
            <v>New Zealand</v>
          </cell>
          <cell r="D77">
            <v>0.08</v>
          </cell>
          <cell r="E77">
            <v>0.92</v>
          </cell>
          <cell r="F77">
            <v>0</v>
          </cell>
          <cell r="G77">
            <v>1</v>
          </cell>
          <cell r="H77">
            <v>0</v>
          </cell>
        </row>
        <row r="82">
          <cell r="C82" t="str">
            <v>Africa</v>
          </cell>
        </row>
        <row r="83">
          <cell r="C83" t="str">
            <v>Nigeria</v>
          </cell>
          <cell r="D83">
            <v>0.02</v>
          </cell>
          <cell r="E83">
            <v>0.28000000000000003</v>
          </cell>
          <cell r="F83">
            <v>0.04</v>
          </cell>
          <cell r="G83">
            <v>0.1</v>
          </cell>
          <cell r="H83">
            <v>0.56000000000000005</v>
          </cell>
          <cell r="I83">
            <v>0.32</v>
          </cell>
          <cell r="J83">
            <v>0.31</v>
          </cell>
          <cell r="K83">
            <v>0</v>
          </cell>
          <cell r="L83">
            <v>0.37</v>
          </cell>
          <cell r="M83">
            <v>0</v>
          </cell>
          <cell r="N83">
            <v>0.17</v>
          </cell>
          <cell r="O83">
            <v>0.24</v>
          </cell>
          <cell r="P83">
            <v>0.05</v>
          </cell>
          <cell r="Q83">
            <v>0.34</v>
          </cell>
          <cell r="R83">
            <v>0.2</v>
          </cell>
        </row>
        <row r="84">
          <cell r="C84" t="str">
            <v>Egypt</v>
          </cell>
          <cell r="D84">
            <v>0.02</v>
          </cell>
          <cell r="E84">
            <v>0.28000000000000003</v>
          </cell>
          <cell r="F84">
            <v>0.04</v>
          </cell>
          <cell r="G84">
            <v>0.1</v>
          </cell>
          <cell r="H84">
            <v>0.56000000000000005</v>
          </cell>
          <cell r="I84">
            <v>0.15</v>
          </cell>
          <cell r="J84">
            <v>0.05</v>
          </cell>
          <cell r="K84">
            <v>0.1</v>
          </cell>
          <cell r="L84">
            <v>0.7</v>
          </cell>
          <cell r="M84">
            <v>0</v>
          </cell>
          <cell r="N84">
            <v>0.17</v>
          </cell>
          <cell r="O84">
            <v>0.24</v>
          </cell>
          <cell r="P84">
            <v>0.05</v>
          </cell>
          <cell r="Q84">
            <v>0.34</v>
          </cell>
          <cell r="R84">
            <v>0.2</v>
          </cell>
        </row>
        <row r="85">
          <cell r="C85" t="str">
            <v>Kenya</v>
          </cell>
          <cell r="D85">
            <v>0.02</v>
          </cell>
          <cell r="E85">
            <v>0.28000000000000003</v>
          </cell>
          <cell r="F85">
            <v>0.04</v>
          </cell>
          <cell r="G85">
            <v>0.1</v>
          </cell>
          <cell r="H85">
            <v>0.56000000000000005</v>
          </cell>
          <cell r="I85">
            <v>0.32</v>
          </cell>
          <cell r="J85">
            <v>0.31</v>
          </cell>
          <cell r="K85">
            <v>0</v>
          </cell>
          <cell r="L85">
            <v>0.37</v>
          </cell>
          <cell r="M85">
            <v>0</v>
          </cell>
          <cell r="N85">
            <v>0.17</v>
          </cell>
          <cell r="O85">
            <v>0.24</v>
          </cell>
          <cell r="P85">
            <v>0.05</v>
          </cell>
          <cell r="Q85">
            <v>0.34</v>
          </cell>
          <cell r="R85">
            <v>0.2</v>
          </cell>
        </row>
        <row r="86">
          <cell r="C86" t="str">
            <v>South Africa</v>
          </cell>
          <cell r="D86">
            <v>0.1</v>
          </cell>
          <cell r="E86">
            <v>0.28000000000000003</v>
          </cell>
          <cell r="F86">
            <v>0.04</v>
          </cell>
          <cell r="G86">
            <v>0.1</v>
          </cell>
          <cell r="H86">
            <v>0.48</v>
          </cell>
          <cell r="I86">
            <v>0.15</v>
          </cell>
          <cell r="J86">
            <v>0.15</v>
          </cell>
          <cell r="K86">
            <v>0</v>
          </cell>
          <cell r="L86">
            <v>0.7</v>
          </cell>
          <cell r="M86">
            <v>0</v>
          </cell>
          <cell r="N86">
            <v>0.17</v>
          </cell>
          <cell r="O86">
            <v>0.24</v>
          </cell>
          <cell r="P86">
            <v>0.05</v>
          </cell>
          <cell r="Q86">
            <v>0.34</v>
          </cell>
          <cell r="R86">
            <v>0.2</v>
          </cell>
        </row>
        <row r="87">
          <cell r="C87" t="str">
            <v>Asia</v>
          </cell>
        </row>
        <row r="88">
          <cell r="C88" t="str">
            <v>China</v>
          </cell>
          <cell r="D88">
            <v>0</v>
          </cell>
          <cell r="E88">
            <v>0.47</v>
          </cell>
          <cell r="F88">
            <v>0.5</v>
          </cell>
          <cell r="G88">
            <v>0</v>
          </cell>
          <cell r="H88">
            <v>0.3</v>
          </cell>
          <cell r="I88">
            <v>0.18</v>
          </cell>
          <cell r="J88">
            <v>0.08</v>
          </cell>
          <cell r="K88">
            <v>7.0000000000000007E-2</v>
          </cell>
          <cell r="L88">
            <v>0.67</v>
          </cell>
          <cell r="M88">
            <v>0</v>
          </cell>
          <cell r="N88">
            <v>0.14000000000000001</v>
          </cell>
          <cell r="O88">
            <v>0.1</v>
          </cell>
          <cell r="P88">
            <v>0.03</v>
          </cell>
          <cell r="Q88">
            <v>0.68</v>
          </cell>
          <cell r="R88">
            <v>0.05</v>
          </cell>
        </row>
        <row r="89">
          <cell r="C89" t="str">
            <v>India</v>
          </cell>
          <cell r="D89">
            <v>0</v>
          </cell>
          <cell r="E89">
            <v>0.47</v>
          </cell>
          <cell r="F89">
            <v>0.1</v>
          </cell>
          <cell r="G89">
            <v>0.1</v>
          </cell>
          <cell r="H89">
            <v>0.33</v>
          </cell>
          <cell r="I89">
            <v>0.18</v>
          </cell>
          <cell r="J89">
            <v>0.08</v>
          </cell>
          <cell r="K89">
            <v>7.0000000000000007E-2</v>
          </cell>
          <cell r="L89">
            <v>0.67</v>
          </cell>
          <cell r="M89">
            <v>0</v>
          </cell>
          <cell r="N89">
            <v>0.14000000000000001</v>
          </cell>
          <cell r="O89">
            <v>0.1</v>
          </cell>
          <cell r="P89">
            <v>0.03</v>
          </cell>
          <cell r="Q89">
            <v>0.53</v>
          </cell>
          <cell r="R89">
            <v>0.2</v>
          </cell>
        </row>
        <row r="90">
          <cell r="C90" t="str">
            <v>Indonesia</v>
          </cell>
          <cell r="D90">
            <v>0</v>
          </cell>
          <cell r="E90">
            <v>0.47</v>
          </cell>
          <cell r="F90">
            <v>0</v>
          </cell>
          <cell r="G90">
            <v>0.1</v>
          </cell>
          <cell r="H90">
            <v>0.43</v>
          </cell>
          <cell r="I90">
            <v>0.18</v>
          </cell>
          <cell r="J90">
            <v>0.08</v>
          </cell>
          <cell r="K90">
            <v>0</v>
          </cell>
          <cell r="L90">
            <v>0.74</v>
          </cell>
          <cell r="M90">
            <v>0</v>
          </cell>
          <cell r="N90">
            <v>0.14000000000000001</v>
          </cell>
          <cell r="O90">
            <v>0.1</v>
          </cell>
          <cell r="P90">
            <v>0.03</v>
          </cell>
          <cell r="Q90">
            <v>0.53</v>
          </cell>
          <cell r="R90">
            <v>0.2</v>
          </cell>
        </row>
        <row r="91">
          <cell r="C91" t="str">
            <v>Pakistan</v>
          </cell>
          <cell r="D91">
            <v>0</v>
          </cell>
          <cell r="E91">
            <v>0.47</v>
          </cell>
          <cell r="F91">
            <v>0</v>
          </cell>
          <cell r="G91">
            <v>0.1</v>
          </cell>
          <cell r="H91">
            <v>0.43</v>
          </cell>
          <cell r="I91">
            <v>0.18</v>
          </cell>
          <cell r="J91">
            <v>0.08</v>
          </cell>
          <cell r="K91">
            <v>0</v>
          </cell>
          <cell r="L91">
            <v>0.74</v>
          </cell>
          <cell r="M91">
            <v>0</v>
          </cell>
          <cell r="N91">
            <v>0.14000000000000001</v>
          </cell>
          <cell r="O91">
            <v>0.1</v>
          </cell>
          <cell r="P91">
            <v>0.03</v>
          </cell>
          <cell r="Q91">
            <v>0.53</v>
          </cell>
          <cell r="R91">
            <v>0.2</v>
          </cell>
        </row>
        <row r="92">
          <cell r="C92" t="str">
            <v>Bangladesh</v>
          </cell>
          <cell r="D92">
            <v>0</v>
          </cell>
          <cell r="E92">
            <v>0.47</v>
          </cell>
          <cell r="F92">
            <v>0</v>
          </cell>
          <cell r="G92">
            <v>0.1</v>
          </cell>
          <cell r="H92">
            <v>0.43</v>
          </cell>
          <cell r="I92">
            <v>0.18</v>
          </cell>
          <cell r="J92">
            <v>0.08</v>
          </cell>
          <cell r="K92">
            <v>0</v>
          </cell>
          <cell r="L92">
            <v>0.74</v>
          </cell>
          <cell r="M92">
            <v>0</v>
          </cell>
          <cell r="N92">
            <v>0.14000000000000001</v>
          </cell>
          <cell r="O92">
            <v>0.1</v>
          </cell>
          <cell r="P92">
            <v>0.03</v>
          </cell>
          <cell r="Q92">
            <v>0.53</v>
          </cell>
          <cell r="R92">
            <v>0.2</v>
          </cell>
        </row>
        <row r="93">
          <cell r="C93" t="str">
            <v>Japan</v>
          </cell>
          <cell r="D93">
            <v>0.2</v>
          </cell>
          <cell r="E93">
            <v>0</v>
          </cell>
          <cell r="F93">
            <v>0.5</v>
          </cell>
          <cell r="G93">
            <v>0.3</v>
          </cell>
          <cell r="H93">
            <v>0</v>
          </cell>
          <cell r="I93">
            <v>0</v>
          </cell>
          <cell r="J93">
            <v>0</v>
          </cell>
          <cell r="K93">
            <v>0.1</v>
          </cell>
          <cell r="L93">
            <v>0.9</v>
          </cell>
          <cell r="M93">
            <v>0</v>
          </cell>
          <cell r="N93">
            <v>0.1</v>
          </cell>
          <cell r="O93">
            <v>0</v>
          </cell>
          <cell r="P93">
            <v>0</v>
          </cell>
          <cell r="Q93">
            <v>0.9</v>
          </cell>
          <cell r="R93">
            <v>0</v>
          </cell>
        </row>
        <row r="94">
          <cell r="C94" t="str">
            <v>Europe</v>
          </cell>
        </row>
        <row r="95">
          <cell r="C95" t="str">
            <v>Russia</v>
          </cell>
          <cell r="D95">
            <v>0.3</v>
          </cell>
          <cell r="E95">
            <v>0.1</v>
          </cell>
          <cell r="F95">
            <v>0</v>
          </cell>
          <cell r="G95">
            <v>0.6</v>
          </cell>
          <cell r="H95">
            <v>0</v>
          </cell>
          <cell r="I95">
            <v>0.1</v>
          </cell>
          <cell r="J95">
            <v>0</v>
          </cell>
          <cell r="K95">
            <v>0</v>
          </cell>
          <cell r="L95">
            <v>0.9</v>
          </cell>
          <cell r="M95">
            <v>0</v>
          </cell>
        </row>
        <row r="96">
          <cell r="C96" t="str">
            <v>Germany</v>
          </cell>
          <cell r="D96">
            <v>0.2</v>
          </cell>
          <cell r="E96">
            <v>0</v>
          </cell>
          <cell r="F96">
            <v>0</v>
          </cell>
          <cell r="G96">
            <v>0.8</v>
          </cell>
          <cell r="H96">
            <v>0</v>
          </cell>
          <cell r="I96">
            <v>0.05</v>
          </cell>
          <cell r="J96">
            <v>0</v>
          </cell>
          <cell r="K96">
            <v>0</v>
          </cell>
          <cell r="L96">
            <v>0.95</v>
          </cell>
          <cell r="M96">
            <v>0</v>
          </cell>
        </row>
        <row r="97">
          <cell r="C97" t="str">
            <v>United Kingdom</v>
          </cell>
          <cell r="D97">
            <v>0.11</v>
          </cell>
          <cell r="E97">
            <v>0</v>
          </cell>
          <cell r="F97">
            <v>0</v>
          </cell>
          <cell r="G97">
            <v>0.89</v>
          </cell>
          <cell r="H97">
            <v>0</v>
          </cell>
          <cell r="I97">
            <v>0</v>
          </cell>
          <cell r="J97">
            <v>0</v>
          </cell>
          <cell r="K97">
            <v>0</v>
          </cell>
          <cell r="L97">
            <v>1</v>
          </cell>
          <cell r="M97">
            <v>0</v>
          </cell>
        </row>
        <row r="98">
          <cell r="C98" t="str">
            <v>France</v>
          </cell>
          <cell r="D98">
            <v>0.37</v>
          </cell>
          <cell r="E98">
            <v>0</v>
          </cell>
          <cell r="F98">
            <v>0</v>
          </cell>
          <cell r="G98">
            <v>0.63</v>
          </cell>
          <cell r="H98">
            <v>0</v>
          </cell>
          <cell r="I98">
            <v>0</v>
          </cell>
          <cell r="J98">
            <v>0</v>
          </cell>
          <cell r="K98">
            <v>0</v>
          </cell>
          <cell r="L98">
            <v>1</v>
          </cell>
          <cell r="M98">
            <v>0</v>
          </cell>
        </row>
        <row r="99">
          <cell r="C99" t="str">
            <v>Italy</v>
          </cell>
          <cell r="D99">
            <v>0.42</v>
          </cell>
          <cell r="E99">
            <v>0</v>
          </cell>
          <cell r="F99">
            <v>0</v>
          </cell>
          <cell r="G99">
            <v>0.57999999999999996</v>
          </cell>
          <cell r="H99">
            <v>0</v>
          </cell>
          <cell r="I99">
            <v>0.04</v>
          </cell>
          <cell r="J99">
            <v>0</v>
          </cell>
          <cell r="K99">
            <v>0</v>
          </cell>
          <cell r="L99">
            <v>0.96</v>
          </cell>
          <cell r="M99">
            <v>0</v>
          </cell>
        </row>
        <row r="100">
          <cell r="C100" t="str">
            <v>North America</v>
          </cell>
        </row>
        <row r="101">
          <cell r="C101" t="str">
            <v>United States</v>
          </cell>
          <cell r="D101">
            <v>0.9</v>
          </cell>
          <cell r="E101">
            <v>0.02</v>
          </cell>
          <cell r="F101">
            <v>0</v>
          </cell>
          <cell r="G101">
            <v>0.08</v>
          </cell>
          <cell r="H101">
            <v>0</v>
          </cell>
          <cell r="I101">
            <v>0.05</v>
          </cell>
          <cell r="J101">
            <v>0</v>
          </cell>
          <cell r="K101">
            <v>0</v>
          </cell>
          <cell r="L101">
            <v>0.95</v>
          </cell>
          <cell r="M101">
            <v>0</v>
          </cell>
        </row>
        <row r="102">
          <cell r="C102" t="str">
            <v>Canada</v>
          </cell>
          <cell r="D102">
            <v>0.9</v>
          </cell>
          <cell r="E102">
            <v>0.02</v>
          </cell>
          <cell r="F102">
            <v>0</v>
          </cell>
          <cell r="G102">
            <v>0.08</v>
          </cell>
          <cell r="H102">
            <v>0</v>
          </cell>
          <cell r="I102">
            <v>0.05</v>
          </cell>
          <cell r="J102">
            <v>0</v>
          </cell>
          <cell r="K102">
            <v>0</v>
          </cell>
          <cell r="L102">
            <v>0.95</v>
          </cell>
          <cell r="M102">
            <v>0</v>
          </cell>
        </row>
        <row r="103">
          <cell r="C103" t="str">
            <v>Mexico</v>
          </cell>
          <cell r="D103">
            <v>0</v>
          </cell>
          <cell r="E103">
            <v>0.45</v>
          </cell>
          <cell r="F103">
            <v>0</v>
          </cell>
          <cell r="G103">
            <v>0.1</v>
          </cell>
          <cell r="H103">
            <v>0.45</v>
          </cell>
          <cell r="I103">
            <v>0</v>
          </cell>
          <cell r="J103">
            <v>0.2</v>
          </cell>
          <cell r="K103">
            <v>0</v>
          </cell>
          <cell r="L103">
            <v>0.8</v>
          </cell>
          <cell r="M103">
            <v>0</v>
          </cell>
          <cell r="N103">
            <v>0</v>
          </cell>
          <cell r="O103">
            <v>0.4</v>
          </cell>
          <cell r="P103">
            <v>0</v>
          </cell>
          <cell r="Q103">
            <v>0.4</v>
          </cell>
          <cell r="R103">
            <v>0.2</v>
          </cell>
        </row>
        <row r="104">
          <cell r="C104" t="str">
            <v xml:space="preserve">Latin America </v>
          </cell>
        </row>
        <row r="105">
          <cell r="C105" t="str">
            <v>Brazil</v>
          </cell>
          <cell r="D105">
            <v>0</v>
          </cell>
          <cell r="E105">
            <v>0.45</v>
          </cell>
          <cell r="F105">
            <v>0</v>
          </cell>
          <cell r="G105">
            <v>0.1</v>
          </cell>
          <cell r="H105">
            <v>0.45</v>
          </cell>
          <cell r="I105">
            <v>0</v>
          </cell>
          <cell r="J105">
            <v>0.2</v>
          </cell>
          <cell r="K105">
            <v>0</v>
          </cell>
          <cell r="L105">
            <v>0.8</v>
          </cell>
          <cell r="M105">
            <v>0</v>
          </cell>
          <cell r="N105">
            <v>0</v>
          </cell>
          <cell r="O105">
            <v>0.4</v>
          </cell>
          <cell r="P105">
            <v>0</v>
          </cell>
          <cell r="Q105">
            <v>0.4</v>
          </cell>
          <cell r="R105">
            <v>0.2</v>
          </cell>
        </row>
        <row r="106">
          <cell r="C106" t="str">
            <v>Oceania</v>
          </cell>
        </row>
        <row r="107">
          <cell r="C107" t="str">
            <v>Australia</v>
          </cell>
          <cell r="D107">
            <v>0.9</v>
          </cell>
          <cell r="E107">
            <v>0.02</v>
          </cell>
          <cell r="F107">
            <v>0</v>
          </cell>
          <cell r="G107">
            <v>0.08</v>
          </cell>
          <cell r="H107">
            <v>0</v>
          </cell>
          <cell r="I107">
            <v>0.05</v>
          </cell>
          <cell r="J107">
            <v>0</v>
          </cell>
          <cell r="K107">
            <v>0</v>
          </cell>
          <cell r="L107">
            <v>0.95</v>
          </cell>
          <cell r="M107">
            <v>0</v>
          </cell>
        </row>
        <row r="108">
          <cell r="C108" t="str">
            <v>New Zealand</v>
          </cell>
          <cell r="D108">
            <v>0.9</v>
          </cell>
          <cell r="E108">
            <v>0.02</v>
          </cell>
          <cell r="F108">
            <v>0</v>
          </cell>
          <cell r="G108">
            <v>0.08</v>
          </cell>
          <cell r="H108">
            <v>0</v>
          </cell>
          <cell r="I108">
            <v>0.05</v>
          </cell>
          <cell r="J108">
            <v>0</v>
          </cell>
          <cell r="K108">
            <v>0</v>
          </cell>
          <cell r="L108">
            <v>0.95</v>
          </cell>
          <cell r="M108">
            <v>0</v>
          </cell>
        </row>
        <row r="115">
          <cell r="C115" t="str">
            <v>Crude Oil</v>
          </cell>
          <cell r="D115">
            <v>73300</v>
          </cell>
          <cell r="E115">
            <v>3</v>
          </cell>
          <cell r="F115">
            <v>0.6</v>
          </cell>
          <cell r="G115">
            <v>73549</v>
          </cell>
        </row>
        <row r="116">
          <cell r="C116" t="str">
            <v>Orimulsion</v>
          </cell>
          <cell r="D116">
            <v>77000</v>
          </cell>
          <cell r="E116">
            <v>3</v>
          </cell>
          <cell r="F116">
            <v>0.6</v>
          </cell>
          <cell r="G116">
            <v>77249</v>
          </cell>
        </row>
        <row r="117">
          <cell r="C117" t="str">
            <v>Natural Gas Liquids</v>
          </cell>
          <cell r="D117">
            <v>64200</v>
          </cell>
          <cell r="E117">
            <v>3</v>
          </cell>
          <cell r="F117">
            <v>0.6</v>
          </cell>
          <cell r="G117">
            <v>64449</v>
          </cell>
        </row>
        <row r="118">
          <cell r="C118" t="str">
            <v>Motor Gasoline</v>
          </cell>
          <cell r="D118">
            <v>69300</v>
          </cell>
          <cell r="E118">
            <v>3</v>
          </cell>
          <cell r="F118">
            <v>0.6</v>
          </cell>
          <cell r="G118">
            <v>69549</v>
          </cell>
        </row>
        <row r="119">
          <cell r="C119" t="str">
            <v>Aviation Gasoline</v>
          </cell>
          <cell r="D119">
            <v>70000</v>
          </cell>
          <cell r="E119">
            <v>3</v>
          </cell>
          <cell r="F119">
            <v>0.6</v>
          </cell>
          <cell r="G119">
            <v>70249</v>
          </cell>
        </row>
        <row r="120">
          <cell r="C120" t="str">
            <v>Jet Gasoline</v>
          </cell>
          <cell r="D120">
            <v>70000</v>
          </cell>
          <cell r="E120">
            <v>3</v>
          </cell>
          <cell r="F120">
            <v>0.6</v>
          </cell>
          <cell r="G120">
            <v>70249</v>
          </cell>
        </row>
        <row r="121">
          <cell r="C121" t="str">
            <v>Jet Kerosene</v>
          </cell>
          <cell r="D121">
            <v>71500</v>
          </cell>
          <cell r="E121">
            <v>3</v>
          </cell>
          <cell r="F121">
            <v>0.6</v>
          </cell>
          <cell r="G121">
            <v>71749</v>
          </cell>
        </row>
        <row r="122">
          <cell r="C122" t="str">
            <v>Other Kerosene</v>
          </cell>
          <cell r="D122">
            <v>71900</v>
          </cell>
          <cell r="E122">
            <v>3</v>
          </cell>
          <cell r="F122">
            <v>0.6</v>
          </cell>
          <cell r="G122">
            <v>72149</v>
          </cell>
        </row>
        <row r="123">
          <cell r="C123" t="str">
            <v>Shale Oil</v>
          </cell>
          <cell r="D123">
            <v>73300</v>
          </cell>
          <cell r="E123">
            <v>3</v>
          </cell>
          <cell r="F123">
            <v>0.6</v>
          </cell>
          <cell r="G123">
            <v>73549</v>
          </cell>
        </row>
        <row r="124">
          <cell r="C124" t="str">
            <v>Gas/Diesel Oil</v>
          </cell>
          <cell r="D124">
            <v>74100</v>
          </cell>
          <cell r="E124">
            <v>3</v>
          </cell>
          <cell r="F124">
            <v>0.6</v>
          </cell>
          <cell r="G124">
            <v>74349</v>
          </cell>
        </row>
        <row r="125">
          <cell r="C125" t="str">
            <v>Residual Fuel Oil</v>
          </cell>
          <cell r="D125">
            <v>77400</v>
          </cell>
          <cell r="E125">
            <v>3</v>
          </cell>
          <cell r="F125">
            <v>0.6</v>
          </cell>
          <cell r="G125">
            <v>77649</v>
          </cell>
        </row>
        <row r="126">
          <cell r="C126" t="str">
            <v>Liquified Petroleum Gases</v>
          </cell>
          <cell r="D126">
            <v>63100</v>
          </cell>
          <cell r="E126">
            <v>1</v>
          </cell>
          <cell r="F126">
            <v>0.1</v>
          </cell>
          <cell r="G126">
            <v>63152</v>
          </cell>
        </row>
        <row r="127">
          <cell r="C127" t="str">
            <v>Ethane</v>
          </cell>
          <cell r="D127">
            <v>61600</v>
          </cell>
          <cell r="E127">
            <v>1</v>
          </cell>
          <cell r="F127">
            <v>0.1</v>
          </cell>
          <cell r="G127">
            <v>61652</v>
          </cell>
        </row>
        <row r="128">
          <cell r="C128" t="str">
            <v>Naptha</v>
          </cell>
          <cell r="D128">
            <v>73300</v>
          </cell>
          <cell r="E128">
            <v>3</v>
          </cell>
          <cell r="F128">
            <v>0.6</v>
          </cell>
          <cell r="G128">
            <v>73549</v>
          </cell>
        </row>
        <row r="129">
          <cell r="C129" t="str">
            <v>Bitumen</v>
          </cell>
          <cell r="D129">
            <v>80700</v>
          </cell>
          <cell r="E129">
            <v>3</v>
          </cell>
          <cell r="F129">
            <v>0.6</v>
          </cell>
          <cell r="G129">
            <v>80949</v>
          </cell>
        </row>
        <row r="130">
          <cell r="C130" t="str">
            <v>Lubricants</v>
          </cell>
          <cell r="D130">
            <v>73300</v>
          </cell>
          <cell r="E130">
            <v>3</v>
          </cell>
          <cell r="F130">
            <v>0.6</v>
          </cell>
          <cell r="G130">
            <v>73549</v>
          </cell>
        </row>
        <row r="131">
          <cell r="C131" t="str">
            <v>Petroleum Coke</v>
          </cell>
          <cell r="D131">
            <v>97500</v>
          </cell>
          <cell r="E131">
            <v>3</v>
          </cell>
          <cell r="F131">
            <v>0.6</v>
          </cell>
          <cell r="G131">
            <v>97749</v>
          </cell>
        </row>
        <row r="132">
          <cell r="C132" t="str">
            <v>Refinery Feedstocks</v>
          </cell>
          <cell r="D132">
            <v>73300</v>
          </cell>
          <cell r="E132">
            <v>3</v>
          </cell>
          <cell r="F132">
            <v>0.6</v>
          </cell>
          <cell r="G132">
            <v>73549</v>
          </cell>
        </row>
        <row r="133">
          <cell r="C133" t="str">
            <v>Refinery Gas</v>
          </cell>
          <cell r="D133">
            <v>57600</v>
          </cell>
          <cell r="E133">
            <v>1</v>
          </cell>
          <cell r="F133">
            <v>0.1</v>
          </cell>
          <cell r="G133">
            <v>57652</v>
          </cell>
        </row>
        <row r="134">
          <cell r="C134" t="str">
            <v>Paraffin Waxes</v>
          </cell>
          <cell r="D134">
            <v>73300</v>
          </cell>
          <cell r="E134">
            <v>3</v>
          </cell>
          <cell r="F134">
            <v>0.6</v>
          </cell>
          <cell r="G134">
            <v>73549</v>
          </cell>
        </row>
        <row r="135">
          <cell r="C135" t="str">
            <v>White Spirit SBP</v>
          </cell>
          <cell r="D135">
            <v>73300</v>
          </cell>
          <cell r="E135">
            <v>3</v>
          </cell>
          <cell r="F135">
            <v>0.6</v>
          </cell>
          <cell r="G135">
            <v>73549</v>
          </cell>
        </row>
        <row r="136">
          <cell r="C136" t="str">
            <v>Other Petroleum Products</v>
          </cell>
          <cell r="D136">
            <v>73300</v>
          </cell>
          <cell r="E136">
            <v>3</v>
          </cell>
          <cell r="F136">
            <v>0.6</v>
          </cell>
          <cell r="G136">
            <v>73549</v>
          </cell>
        </row>
        <row r="137">
          <cell r="C137" t="str">
            <v>Anthracite</v>
          </cell>
          <cell r="D137">
            <v>98300</v>
          </cell>
          <cell r="E137">
            <v>10</v>
          </cell>
          <cell r="F137">
            <v>1.5</v>
          </cell>
          <cell r="G137">
            <v>98975</v>
          </cell>
        </row>
        <row r="138">
          <cell r="C138" t="str">
            <v>Coking Coal</v>
          </cell>
          <cell r="D138">
            <v>94600</v>
          </cell>
          <cell r="E138">
            <v>10</v>
          </cell>
          <cell r="F138">
            <v>1.5</v>
          </cell>
          <cell r="G138">
            <v>95275</v>
          </cell>
        </row>
        <row r="139">
          <cell r="C139" t="str">
            <v>Other Bituminous Coal</v>
          </cell>
          <cell r="D139">
            <v>94600</v>
          </cell>
          <cell r="E139">
            <v>10</v>
          </cell>
          <cell r="F139">
            <v>1.5</v>
          </cell>
          <cell r="G139">
            <v>95275</v>
          </cell>
        </row>
        <row r="140">
          <cell r="C140" t="str">
            <v>Sub-Bituminous Coal</v>
          </cell>
          <cell r="D140">
            <v>96100</v>
          </cell>
          <cell r="E140">
            <v>10</v>
          </cell>
          <cell r="F140">
            <v>1.5</v>
          </cell>
          <cell r="G140">
            <v>96775</v>
          </cell>
        </row>
        <row r="141">
          <cell r="C141" t="str">
            <v>Lignite</v>
          </cell>
          <cell r="D141">
            <v>101000</v>
          </cell>
          <cell r="E141">
            <v>10</v>
          </cell>
          <cell r="F141">
            <v>1.5</v>
          </cell>
          <cell r="G141">
            <v>101675</v>
          </cell>
        </row>
        <row r="142">
          <cell r="C142" t="str">
            <v>Oil Shale and Tar Sands</v>
          </cell>
          <cell r="D142">
            <v>107000</v>
          </cell>
          <cell r="E142">
            <v>10</v>
          </cell>
          <cell r="F142">
            <v>1.5</v>
          </cell>
          <cell r="G142">
            <v>107675</v>
          </cell>
        </row>
        <row r="143">
          <cell r="C143" t="str">
            <v>Brown Coal Briquettes</v>
          </cell>
          <cell r="D143">
            <v>97500</v>
          </cell>
          <cell r="E143">
            <v>10</v>
          </cell>
          <cell r="F143">
            <v>1.5</v>
          </cell>
          <cell r="G143">
            <v>98175</v>
          </cell>
        </row>
        <row r="144">
          <cell r="C144" t="str">
            <v>Patent Fuel</v>
          </cell>
          <cell r="D144">
            <v>97500</v>
          </cell>
          <cell r="E144">
            <v>10</v>
          </cell>
          <cell r="F144">
            <v>1.5</v>
          </cell>
          <cell r="G144">
            <v>98175</v>
          </cell>
        </row>
        <row r="145">
          <cell r="C145" t="str">
            <v>Coke OvenCoke and Lignite</v>
          </cell>
          <cell r="D145">
            <v>107000</v>
          </cell>
          <cell r="E145">
            <v>10</v>
          </cell>
          <cell r="F145">
            <v>1.5</v>
          </cell>
          <cell r="G145">
            <v>107675</v>
          </cell>
        </row>
        <row r="146">
          <cell r="C146" t="str">
            <v>Gas Coke</v>
          </cell>
          <cell r="D146">
            <v>107000</v>
          </cell>
          <cell r="E146">
            <v>1</v>
          </cell>
          <cell r="F146">
            <v>0.1</v>
          </cell>
          <cell r="G146">
            <v>107052</v>
          </cell>
        </row>
        <row r="147">
          <cell r="C147" t="str">
            <v>Coal Tar</v>
          </cell>
          <cell r="D147">
            <v>80700</v>
          </cell>
          <cell r="E147">
            <v>10</v>
          </cell>
          <cell r="F147">
            <v>1.5</v>
          </cell>
          <cell r="G147">
            <v>81375</v>
          </cell>
        </row>
        <row r="148">
          <cell r="C148" t="str">
            <v>Gas Works Gas</v>
          </cell>
          <cell r="D148">
            <v>44400</v>
          </cell>
          <cell r="E148">
            <v>1</v>
          </cell>
          <cell r="F148">
            <v>0.1</v>
          </cell>
          <cell r="G148">
            <v>44452</v>
          </cell>
        </row>
        <row r="149">
          <cell r="C149" t="str">
            <v>Coke Oven Gas</v>
          </cell>
          <cell r="D149">
            <v>44400</v>
          </cell>
          <cell r="E149">
            <v>1</v>
          </cell>
          <cell r="F149">
            <v>0.1</v>
          </cell>
          <cell r="G149">
            <v>44452</v>
          </cell>
        </row>
        <row r="150">
          <cell r="C150" t="str">
            <v>Blast Furnace Gas</v>
          </cell>
          <cell r="D150">
            <v>260000</v>
          </cell>
          <cell r="E150">
            <v>1</v>
          </cell>
          <cell r="F150">
            <v>0.1</v>
          </cell>
          <cell r="G150">
            <v>260052</v>
          </cell>
        </row>
        <row r="151">
          <cell r="C151" t="str">
            <v>Oxygen Steel Furnace Gas</v>
          </cell>
          <cell r="D151">
            <v>182000</v>
          </cell>
          <cell r="E151">
            <v>1</v>
          </cell>
          <cell r="F151">
            <v>0.1</v>
          </cell>
          <cell r="G151">
            <v>182052</v>
          </cell>
        </row>
        <row r="152">
          <cell r="C152" t="str">
            <v>Natural Gas Liquids</v>
          </cell>
          <cell r="D152">
            <v>56100</v>
          </cell>
          <cell r="E152">
            <v>1</v>
          </cell>
          <cell r="F152">
            <v>0.1</v>
          </cell>
          <cell r="G152">
            <v>56152</v>
          </cell>
        </row>
        <row r="153">
          <cell r="C153" t="str">
            <v>Municipal Wastes (non-bio)</v>
          </cell>
          <cell r="D153">
            <v>91700</v>
          </cell>
          <cell r="E153">
            <v>30</v>
          </cell>
          <cell r="F153">
            <v>4</v>
          </cell>
          <cell r="G153">
            <v>93570</v>
          </cell>
        </row>
        <row r="154">
          <cell r="C154" t="str">
            <v>Industrial Wastes</v>
          </cell>
          <cell r="D154">
            <v>143000</v>
          </cell>
          <cell r="E154">
            <v>30</v>
          </cell>
          <cell r="F154">
            <v>4</v>
          </cell>
          <cell r="G154">
            <v>144870</v>
          </cell>
        </row>
        <row r="155">
          <cell r="C155" t="str">
            <v>Waste Oils</v>
          </cell>
          <cell r="D155">
            <v>73300</v>
          </cell>
          <cell r="E155">
            <v>30</v>
          </cell>
          <cell r="F155">
            <v>4</v>
          </cell>
          <cell r="G155">
            <v>75170</v>
          </cell>
        </row>
        <row r="156">
          <cell r="C156" t="str">
            <v>Peat</v>
          </cell>
          <cell r="D156">
            <v>106000</v>
          </cell>
          <cell r="E156">
            <v>2</v>
          </cell>
          <cell r="F156">
            <v>1.5</v>
          </cell>
          <cell r="G156">
            <v>106507</v>
          </cell>
        </row>
        <row r="157">
          <cell r="C157" t="str">
            <v>Wood</v>
          </cell>
          <cell r="D157">
            <v>112000</v>
          </cell>
          <cell r="E157">
            <v>30</v>
          </cell>
          <cell r="F157">
            <v>4</v>
          </cell>
          <cell r="G157">
            <v>113870</v>
          </cell>
        </row>
        <row r="158">
          <cell r="C158" t="str">
            <v>Sulphite Lyes</v>
          </cell>
          <cell r="D158">
            <v>95300</v>
          </cell>
          <cell r="E158">
            <v>3</v>
          </cell>
          <cell r="F158">
            <v>2</v>
          </cell>
          <cell r="G158">
            <v>95983</v>
          </cell>
        </row>
        <row r="159">
          <cell r="C159" t="str">
            <v>Other Primary Biomass</v>
          </cell>
          <cell r="D159">
            <v>100000</v>
          </cell>
          <cell r="E159">
            <v>30</v>
          </cell>
          <cell r="F159">
            <v>4</v>
          </cell>
          <cell r="G159">
            <v>101870</v>
          </cell>
        </row>
        <row r="160">
          <cell r="C160" t="str">
            <v>Charcoal</v>
          </cell>
          <cell r="D160">
            <v>112000</v>
          </cell>
          <cell r="E160">
            <v>200</v>
          </cell>
          <cell r="F160">
            <v>4</v>
          </cell>
          <cell r="G160">
            <v>117440</v>
          </cell>
        </row>
        <row r="161">
          <cell r="C161" t="str">
            <v>Biogasoline</v>
          </cell>
          <cell r="D161">
            <v>70800</v>
          </cell>
          <cell r="E161">
            <v>3</v>
          </cell>
          <cell r="F161">
            <v>0.6</v>
          </cell>
          <cell r="G161">
            <v>71049</v>
          </cell>
        </row>
        <row r="162">
          <cell r="C162" t="str">
            <v>Biodiesels</v>
          </cell>
          <cell r="D162">
            <v>70800</v>
          </cell>
          <cell r="E162">
            <v>3</v>
          </cell>
          <cell r="F162">
            <v>0.6</v>
          </cell>
          <cell r="G162">
            <v>71049</v>
          </cell>
        </row>
        <row r="163">
          <cell r="C163" t="str">
            <v>Other Liquid Biofuels</v>
          </cell>
          <cell r="D163">
            <v>79600</v>
          </cell>
          <cell r="E163">
            <v>3</v>
          </cell>
          <cell r="F163">
            <v>0.6</v>
          </cell>
          <cell r="G163">
            <v>79849</v>
          </cell>
        </row>
        <row r="164">
          <cell r="C164" t="str">
            <v>Landfill Gas</v>
          </cell>
          <cell r="D164">
            <v>54600</v>
          </cell>
          <cell r="E164">
            <v>1</v>
          </cell>
          <cell r="F164">
            <v>0.1</v>
          </cell>
          <cell r="G164">
            <v>54652</v>
          </cell>
        </row>
        <row r="165">
          <cell r="C165" t="str">
            <v>Sludge Gas</v>
          </cell>
          <cell r="D165">
            <v>54600</v>
          </cell>
          <cell r="E165">
            <v>1</v>
          </cell>
          <cell r="F165">
            <v>0.1</v>
          </cell>
          <cell r="G165">
            <v>54652</v>
          </cell>
        </row>
        <row r="166">
          <cell r="C166" t="str">
            <v>Other Biogas</v>
          </cell>
          <cell r="D166">
            <v>54600</v>
          </cell>
          <cell r="E166">
            <v>1</v>
          </cell>
          <cell r="F166">
            <v>0.1</v>
          </cell>
          <cell r="G166">
            <v>54652</v>
          </cell>
        </row>
        <row r="167">
          <cell r="C167" t="str">
            <v>Municipal Wates (bio)</v>
          </cell>
          <cell r="D167">
            <v>100000</v>
          </cell>
          <cell r="E167">
            <v>30</v>
          </cell>
          <cell r="F167">
            <v>4</v>
          </cell>
          <cell r="G167">
            <v>101870</v>
          </cell>
        </row>
        <row r="172">
          <cell r="C172" t="str">
            <v>World</v>
          </cell>
          <cell r="D172">
            <v>0.50485579999999997</v>
          </cell>
        </row>
        <row r="173">
          <cell r="C173" t="str">
            <v>OECD North America</v>
          </cell>
          <cell r="D173">
            <v>0.513069</v>
          </cell>
        </row>
        <row r="174">
          <cell r="C174" t="str">
            <v>OECD Pacific</v>
          </cell>
          <cell r="D174">
            <v>0.49541099999999999</v>
          </cell>
        </row>
        <row r="175">
          <cell r="C175" t="str">
            <v>OECD Europe</v>
          </cell>
          <cell r="D175">
            <v>0.33866099999999999</v>
          </cell>
        </row>
        <row r="176">
          <cell r="C176" t="str">
            <v>Africa</v>
          </cell>
          <cell r="D176">
            <v>0.64548800000000006</v>
          </cell>
        </row>
        <row r="177">
          <cell r="C177" t="str">
            <v>Latin America</v>
          </cell>
          <cell r="D177">
            <v>0.19358649999999999</v>
          </cell>
        </row>
        <row r="178">
          <cell r="C178" t="str">
            <v>Middle East</v>
          </cell>
          <cell r="D178">
            <v>0.67047370000000006</v>
          </cell>
        </row>
        <row r="179">
          <cell r="C179" t="str">
            <v>Non-OECD Europe</v>
          </cell>
          <cell r="D179">
            <v>0.4988224</v>
          </cell>
        </row>
        <row r="180">
          <cell r="C180" t="str">
            <v>Former USSR</v>
          </cell>
          <cell r="D180">
            <v>0.3406189</v>
          </cell>
        </row>
        <row r="181">
          <cell r="C181" t="str">
            <v>Asia (excluding China)</v>
          </cell>
          <cell r="D181">
            <v>0.7293463</v>
          </cell>
        </row>
        <row r="182">
          <cell r="C182" t="str">
            <v>Albania</v>
          </cell>
          <cell r="D182">
            <v>3.2440199999999995E-2</v>
          </cell>
        </row>
        <row r="183">
          <cell r="C183" t="str">
            <v>Algeria</v>
          </cell>
          <cell r="D183">
            <v>0.68811820000000001</v>
          </cell>
        </row>
        <row r="184">
          <cell r="C184" t="str">
            <v>Angola</v>
          </cell>
          <cell r="D184">
            <v>9.8200400000000007E-2</v>
          </cell>
        </row>
        <row r="185">
          <cell r="C185" t="str">
            <v>Argentina</v>
          </cell>
          <cell r="D185">
            <v>0.30336960000000002</v>
          </cell>
        </row>
        <row r="186">
          <cell r="C186" t="str">
            <v>Armenia</v>
          </cell>
          <cell r="D186">
            <v>0.13829089999999999</v>
          </cell>
        </row>
        <row r="187">
          <cell r="C187" t="str">
            <v>Australia</v>
          </cell>
          <cell r="D187">
            <v>0.9205270000000001</v>
          </cell>
        </row>
        <row r="188">
          <cell r="C188" t="str">
            <v>Austria</v>
          </cell>
          <cell r="D188">
            <v>0.21447099999999999</v>
          </cell>
        </row>
        <row r="189">
          <cell r="C189" t="str">
            <v>Azerbaijan</v>
          </cell>
          <cell r="D189">
            <v>0.47347519999999998</v>
          </cell>
        </row>
        <row r="190">
          <cell r="C190" t="str">
            <v>Bahrain</v>
          </cell>
          <cell r="D190">
            <v>0.82486369999999998</v>
          </cell>
        </row>
        <row r="191">
          <cell r="C191" t="str">
            <v>Bangladesh</v>
          </cell>
          <cell r="D191">
            <v>0.58433079999999993</v>
          </cell>
        </row>
        <row r="192">
          <cell r="C192" t="str">
            <v>Belarus</v>
          </cell>
          <cell r="D192">
            <v>0.2963771</v>
          </cell>
        </row>
        <row r="193">
          <cell r="C193" t="str">
            <v>Belgium</v>
          </cell>
          <cell r="D193">
            <v>0.26003599999999999</v>
          </cell>
        </row>
        <row r="194">
          <cell r="C194" t="str">
            <v>Benin</v>
          </cell>
          <cell r="D194">
            <v>0.69621259999999996</v>
          </cell>
        </row>
        <row r="195">
          <cell r="C195" t="str">
            <v>Bolivia</v>
          </cell>
          <cell r="D195">
            <v>0.5049688</v>
          </cell>
        </row>
        <row r="196">
          <cell r="C196" t="str">
            <v>Bosnia and Herzegovina</v>
          </cell>
          <cell r="D196">
            <v>0.80195799999999995</v>
          </cell>
        </row>
        <row r="197">
          <cell r="C197" t="str">
            <v>Botswana</v>
          </cell>
          <cell r="D197">
            <v>1.8514538999999999</v>
          </cell>
        </row>
        <row r="198">
          <cell r="C198" t="str">
            <v>Brazil</v>
          </cell>
          <cell r="D198">
            <v>8.1437599999999999E-2</v>
          </cell>
        </row>
        <row r="199">
          <cell r="C199" t="str">
            <v>Brunei Darussalam</v>
          </cell>
          <cell r="D199">
            <v>0.82100490000000004</v>
          </cell>
        </row>
        <row r="200">
          <cell r="C200" t="str">
            <v>Bulgaria</v>
          </cell>
          <cell r="D200">
            <v>0.44796179999999997</v>
          </cell>
        </row>
        <row r="201">
          <cell r="C201" t="str">
            <v>Cambodia</v>
          </cell>
          <cell r="D201">
            <v>1.0049344</v>
          </cell>
        </row>
        <row r="202">
          <cell r="C202" t="str">
            <v>Cameroon</v>
          </cell>
          <cell r="D202">
            <v>4.2535699999999996E-2</v>
          </cell>
        </row>
        <row r="203">
          <cell r="C203" t="str">
            <v>Canada</v>
          </cell>
          <cell r="D203">
            <v>0.18417900000000001</v>
          </cell>
        </row>
        <row r="204">
          <cell r="C204" t="str">
            <v>Chile</v>
          </cell>
          <cell r="D204">
            <v>0.29424250000000002</v>
          </cell>
        </row>
        <row r="205">
          <cell r="C205" t="str">
            <v>People's Republic of China</v>
          </cell>
          <cell r="D205">
            <v>0.7875875</v>
          </cell>
        </row>
        <row r="206">
          <cell r="C206" t="str">
            <v>Chinese Taipei</v>
          </cell>
          <cell r="D206">
            <v>0.65888190000000002</v>
          </cell>
        </row>
        <row r="207">
          <cell r="C207" t="str">
            <v>Colombia</v>
          </cell>
          <cell r="D207">
            <v>0.14961720000000001</v>
          </cell>
        </row>
        <row r="208">
          <cell r="C208" t="str">
            <v>Congo</v>
          </cell>
          <cell r="D208">
            <v>0.1023289</v>
          </cell>
        </row>
        <row r="209">
          <cell r="C209" t="str">
            <v>Democratic Republic of Congo</v>
          </cell>
          <cell r="D209">
            <v>2.7816E-3</v>
          </cell>
        </row>
        <row r="210">
          <cell r="C210" t="str">
            <v>Costa Rica</v>
          </cell>
          <cell r="D210">
            <v>4.7398499999999996E-2</v>
          </cell>
        </row>
        <row r="211">
          <cell r="C211" t="str">
            <v>Côte d'Ivoire</v>
          </cell>
          <cell r="D211">
            <v>0.43621719999999997</v>
          </cell>
        </row>
        <row r="212">
          <cell r="C212" t="str">
            <v>Croatia</v>
          </cell>
          <cell r="D212">
            <v>0.31839800000000001</v>
          </cell>
        </row>
        <row r="213">
          <cell r="C213" t="str">
            <v>Cuba</v>
          </cell>
          <cell r="D213">
            <v>1.0194388999999999</v>
          </cell>
        </row>
        <row r="214">
          <cell r="C214" t="str">
            <v>Cyprus</v>
          </cell>
          <cell r="D214">
            <v>0.75828020000000007</v>
          </cell>
        </row>
        <row r="215">
          <cell r="C215" t="str">
            <v>Czech Republic</v>
          </cell>
          <cell r="D215">
            <v>0.52662900000000001</v>
          </cell>
        </row>
        <row r="216">
          <cell r="C216" t="str">
            <v>Denmark</v>
          </cell>
          <cell r="D216">
            <v>0.341339</v>
          </cell>
        </row>
        <row r="217">
          <cell r="C217" t="str">
            <v>Dominican Republic</v>
          </cell>
          <cell r="D217">
            <v>0.6238551</v>
          </cell>
        </row>
        <row r="218">
          <cell r="C218" t="str">
            <v>Ecuador</v>
          </cell>
          <cell r="D218">
            <v>0.3957349</v>
          </cell>
        </row>
        <row r="219">
          <cell r="C219" t="str">
            <v>Egypt</v>
          </cell>
          <cell r="D219">
            <v>0.46980840000000001</v>
          </cell>
        </row>
        <row r="220">
          <cell r="C220" t="str">
            <v>El Salvador</v>
          </cell>
          <cell r="D220">
            <v>0.2167277</v>
          </cell>
        </row>
        <row r="221">
          <cell r="C221" t="str">
            <v>Eritrea</v>
          </cell>
          <cell r="D221">
            <v>0.69034200000000001</v>
          </cell>
        </row>
        <row r="222">
          <cell r="C222" t="str">
            <v>Estonia</v>
          </cell>
          <cell r="D222">
            <v>0.64015809999999995</v>
          </cell>
        </row>
        <row r="223">
          <cell r="C223" t="str">
            <v>Ethiopia</v>
          </cell>
          <cell r="D223">
            <v>2.9140000000000004E-3</v>
          </cell>
        </row>
        <row r="224">
          <cell r="C224" t="str">
            <v>Finland</v>
          </cell>
          <cell r="D224">
            <v>0.241592</v>
          </cell>
        </row>
        <row r="225">
          <cell r="C225" t="str">
            <v>France</v>
          </cell>
          <cell r="D225">
            <v>8.4953000000000001E-2</v>
          </cell>
        </row>
        <row r="226">
          <cell r="C226" t="str">
            <v>Gabon</v>
          </cell>
          <cell r="D226">
            <v>0.34666050000000004</v>
          </cell>
        </row>
        <row r="227">
          <cell r="C227" t="str">
            <v>Georgia</v>
          </cell>
          <cell r="D227">
            <v>0.14496780000000001</v>
          </cell>
        </row>
        <row r="228">
          <cell r="C228" t="str">
            <v>Germany</v>
          </cell>
          <cell r="D228">
            <v>0.40362900000000002</v>
          </cell>
        </row>
        <row r="229">
          <cell r="C229" t="str">
            <v>Ghana</v>
          </cell>
          <cell r="D229">
            <v>0.27569850000000001</v>
          </cell>
        </row>
        <row r="230">
          <cell r="C230" t="str">
            <v>Gibraltar</v>
          </cell>
          <cell r="D230">
            <v>0.73043050000000009</v>
          </cell>
        </row>
        <row r="231">
          <cell r="C231" t="str">
            <v>Greece</v>
          </cell>
          <cell r="D231">
            <v>0.72496400000000005</v>
          </cell>
        </row>
        <row r="232">
          <cell r="C232" t="str">
            <v>Guatemala</v>
          </cell>
          <cell r="D232">
            <v>0.33441470000000001</v>
          </cell>
        </row>
        <row r="233">
          <cell r="C233" t="str">
            <v>Haiti</v>
          </cell>
          <cell r="D233">
            <v>0.30518250000000002</v>
          </cell>
        </row>
        <row r="234">
          <cell r="C234" t="str">
            <v>Honduras</v>
          </cell>
          <cell r="D234">
            <v>0.41325259999999997</v>
          </cell>
        </row>
        <row r="235">
          <cell r="C235" t="str">
            <v>Hong Kong, China</v>
          </cell>
          <cell r="D235">
            <v>0.85461260000000006</v>
          </cell>
        </row>
        <row r="236">
          <cell r="C236" t="str">
            <v>Hungary</v>
          </cell>
          <cell r="D236">
            <v>0.34392700000000004</v>
          </cell>
        </row>
        <row r="237">
          <cell r="C237" t="str">
            <v>Iceland</v>
          </cell>
          <cell r="D237">
            <v>5.4200000000000006E-4</v>
          </cell>
        </row>
        <row r="238">
          <cell r="C238" t="str">
            <v>India</v>
          </cell>
          <cell r="D238">
            <v>0.9440385</v>
          </cell>
        </row>
        <row r="239">
          <cell r="C239" t="str">
            <v>Indonesia</v>
          </cell>
          <cell r="D239">
            <v>0.67672529999999997</v>
          </cell>
        </row>
        <row r="240">
          <cell r="C240" t="str">
            <v>Islamic Republic of Iran</v>
          </cell>
          <cell r="D240">
            <v>0.51435469999999994</v>
          </cell>
        </row>
        <row r="241">
          <cell r="C241" t="str">
            <v>Iraq</v>
          </cell>
          <cell r="D241">
            <v>0.70090959999999991</v>
          </cell>
        </row>
        <row r="242">
          <cell r="C242" t="str">
            <v>Ireland</v>
          </cell>
          <cell r="D242">
            <v>0.53533299999999995</v>
          </cell>
        </row>
        <row r="243">
          <cell r="C243" t="str">
            <v>Israel</v>
          </cell>
          <cell r="D243">
            <v>0.77365099999999998</v>
          </cell>
        </row>
        <row r="244">
          <cell r="C244" t="str">
            <v>Italy</v>
          </cell>
          <cell r="D244">
            <v>0.40351199999999998</v>
          </cell>
        </row>
        <row r="245">
          <cell r="C245" t="str">
            <v>Jamaica</v>
          </cell>
          <cell r="D245">
            <v>0.82975509999999997</v>
          </cell>
        </row>
        <row r="246">
          <cell r="C246" t="str">
            <v>Japan</v>
          </cell>
          <cell r="D246">
            <v>0.418346</v>
          </cell>
        </row>
        <row r="247">
          <cell r="C247" t="str">
            <v>Jordan</v>
          </cell>
          <cell r="D247">
            <v>0.60187390000000007</v>
          </cell>
        </row>
        <row r="248">
          <cell r="C248" t="str">
            <v>Kazakhstan</v>
          </cell>
          <cell r="D248">
            <v>0.52002650000000006</v>
          </cell>
        </row>
        <row r="249">
          <cell r="C249" t="str">
            <v>Kenya</v>
          </cell>
          <cell r="D249">
            <v>0.31749050000000001</v>
          </cell>
        </row>
        <row r="250">
          <cell r="C250" t="str">
            <v>Dem. People's Republic of Korea</v>
          </cell>
          <cell r="D250">
            <v>0.53319550000000004</v>
          </cell>
        </row>
        <row r="251">
          <cell r="C251" t="str">
            <v>Korea</v>
          </cell>
          <cell r="D251">
            <v>0.464337</v>
          </cell>
        </row>
        <row r="252">
          <cell r="C252" t="str">
            <v>Kuwait</v>
          </cell>
          <cell r="D252">
            <v>0.64291679999999995</v>
          </cell>
        </row>
        <row r="253">
          <cell r="C253" t="str">
            <v>Kyrgyzstan</v>
          </cell>
          <cell r="D253">
            <v>7.9160999999999995E-2</v>
          </cell>
        </row>
        <row r="254">
          <cell r="C254" t="str">
            <v>Latvia</v>
          </cell>
          <cell r="D254">
            <v>0.16738810000000001</v>
          </cell>
        </row>
        <row r="255">
          <cell r="C255" t="str">
            <v>Lebanon</v>
          </cell>
          <cell r="D255">
            <v>0.69464970000000004</v>
          </cell>
        </row>
        <row r="256">
          <cell r="C256" t="str">
            <v>Libya</v>
          </cell>
          <cell r="D256">
            <v>0.87882860000000007</v>
          </cell>
        </row>
        <row r="257">
          <cell r="C257" t="str">
            <v>Lithuania</v>
          </cell>
          <cell r="D257">
            <v>0.13948199999999999</v>
          </cell>
        </row>
        <row r="258">
          <cell r="C258" t="str">
            <v>Luxembourg</v>
          </cell>
          <cell r="D258">
            <v>0.32604700000000003</v>
          </cell>
        </row>
        <row r="259">
          <cell r="C259" t="str">
            <v>FYR of Macedonia</v>
          </cell>
          <cell r="D259">
            <v>0.61890590000000001</v>
          </cell>
        </row>
        <row r="260">
          <cell r="C260" t="str">
            <v>Malaysia</v>
          </cell>
          <cell r="D260">
            <v>0.6553582</v>
          </cell>
        </row>
        <row r="261">
          <cell r="C261" t="str">
            <v>Malta</v>
          </cell>
          <cell r="D261">
            <v>0.83408540000000009</v>
          </cell>
        </row>
        <row r="262">
          <cell r="C262" t="str">
            <v>Mexico</v>
          </cell>
          <cell r="D262">
            <v>0.54128500000000002</v>
          </cell>
        </row>
        <row r="263">
          <cell r="C263" t="str">
            <v>Republic of Moldova</v>
          </cell>
          <cell r="D263">
            <v>0.47556799999999999</v>
          </cell>
        </row>
        <row r="264">
          <cell r="C264" t="str">
            <v>Mongolia</v>
          </cell>
          <cell r="D264">
            <v>0.52330999999999994</v>
          </cell>
        </row>
        <row r="265">
          <cell r="C265" t="str">
            <v>Morocco</v>
          </cell>
          <cell r="D265">
            <v>0.70790120000000001</v>
          </cell>
        </row>
        <row r="266">
          <cell r="C266" t="str">
            <v>Mozambique</v>
          </cell>
          <cell r="D266">
            <v>1.0178000000000001E-3</v>
          </cell>
        </row>
        <row r="267">
          <cell r="C267" t="str">
            <v>Myanmar</v>
          </cell>
          <cell r="D267">
            <v>0.3382211</v>
          </cell>
        </row>
        <row r="268">
          <cell r="C268" t="str">
            <v>Namibia</v>
          </cell>
          <cell r="D268">
            <v>7.5646900000000003E-2</v>
          </cell>
        </row>
        <row r="269">
          <cell r="C269" t="str">
            <v>Nepal</v>
          </cell>
          <cell r="D269">
            <v>3.7995999999999998E-3</v>
          </cell>
        </row>
        <row r="270">
          <cell r="C270" t="str">
            <v>Netherlands</v>
          </cell>
          <cell r="D270">
            <v>0.39431499999999997</v>
          </cell>
        </row>
        <row r="271">
          <cell r="C271" t="str">
            <v>Netherlands Antilles</v>
          </cell>
          <cell r="D271">
            <v>0.7170685</v>
          </cell>
        </row>
        <row r="272">
          <cell r="C272" t="str">
            <v>New Zealand</v>
          </cell>
          <cell r="D272">
            <v>0.30910000000000004</v>
          </cell>
        </row>
        <row r="273">
          <cell r="C273" t="str">
            <v>Nicaragua</v>
          </cell>
          <cell r="D273">
            <v>0.54976369999999997</v>
          </cell>
        </row>
        <row r="274">
          <cell r="C274" t="str">
            <v>Nigeria</v>
          </cell>
          <cell r="D274">
            <v>0.38613780000000003</v>
          </cell>
        </row>
        <row r="275">
          <cell r="C275" t="str">
            <v>Norway</v>
          </cell>
          <cell r="D275">
            <v>6.8669999999999998E-3</v>
          </cell>
        </row>
        <row r="276">
          <cell r="C276" t="str">
            <v>Oman</v>
          </cell>
          <cell r="D276">
            <v>0.85611270000000006</v>
          </cell>
        </row>
        <row r="277">
          <cell r="C277" t="str">
            <v>Pakistan</v>
          </cell>
          <cell r="D277">
            <v>0.41280820000000001</v>
          </cell>
        </row>
        <row r="278">
          <cell r="C278" t="str">
            <v>Panama</v>
          </cell>
          <cell r="D278">
            <v>0.22884389999999999</v>
          </cell>
        </row>
        <row r="279">
          <cell r="C279" t="str">
            <v>Paraguay</v>
          </cell>
          <cell r="D279">
            <v>0</v>
          </cell>
        </row>
        <row r="280">
          <cell r="C280" t="str">
            <v>Peru</v>
          </cell>
          <cell r="D280">
            <v>0.17232349999999999</v>
          </cell>
        </row>
        <row r="281">
          <cell r="C281" t="str">
            <v>Philippines</v>
          </cell>
          <cell r="D281">
            <v>0.43500610000000001</v>
          </cell>
        </row>
        <row r="282">
          <cell r="C282" t="str">
            <v>Poland</v>
          </cell>
          <cell r="D282">
            <v>0.65864999999999996</v>
          </cell>
        </row>
        <row r="283">
          <cell r="C283" t="str">
            <v>Portugal</v>
          </cell>
          <cell r="D283">
            <v>0.41642399999999996</v>
          </cell>
        </row>
        <row r="284">
          <cell r="C284" t="str">
            <v>Qatar</v>
          </cell>
          <cell r="D284">
            <v>0.62571410000000005</v>
          </cell>
        </row>
        <row r="285">
          <cell r="C285" t="str">
            <v>Romania</v>
          </cell>
          <cell r="D285">
            <v>0.42860500000000001</v>
          </cell>
        </row>
        <row r="286">
          <cell r="C286" t="str">
            <v>Russia</v>
          </cell>
          <cell r="D286">
            <v>0.32856540000000001</v>
          </cell>
        </row>
        <row r="287">
          <cell r="C287" t="str">
            <v>Saudi Arabia</v>
          </cell>
          <cell r="D287">
            <v>0.75537339999999997</v>
          </cell>
        </row>
        <row r="288">
          <cell r="C288" t="str">
            <v>Senegal</v>
          </cell>
          <cell r="D288">
            <v>0.72589490000000001</v>
          </cell>
        </row>
        <row r="289">
          <cell r="C289" t="str">
            <v>Serbia</v>
          </cell>
          <cell r="D289">
            <v>0.71559110000000004</v>
          </cell>
        </row>
        <row r="290">
          <cell r="C290" t="str">
            <v>Singapore</v>
          </cell>
          <cell r="D290">
            <v>0.53605859999999994</v>
          </cell>
        </row>
        <row r="291">
          <cell r="C291" t="str">
            <v>Slovak Republic</v>
          </cell>
          <cell r="D291">
            <v>0.223412</v>
          </cell>
        </row>
        <row r="292">
          <cell r="C292" t="str">
            <v xml:space="preserve">Slovenia </v>
          </cell>
          <cell r="D292">
            <v>0.33175889999999997</v>
          </cell>
        </row>
        <row r="293">
          <cell r="C293" t="str">
            <v>South Africa</v>
          </cell>
          <cell r="D293">
            <v>0.86899959999999998</v>
          </cell>
        </row>
        <row r="294">
          <cell r="C294" t="str">
            <v>Spain</v>
          </cell>
          <cell r="D294">
            <v>0.34979399999999999</v>
          </cell>
        </row>
        <row r="295">
          <cell r="C295" t="str">
            <v>Sri Lanka</v>
          </cell>
          <cell r="D295">
            <v>0.31372440000000001</v>
          </cell>
        </row>
        <row r="296">
          <cell r="C296" t="str">
            <v>Sudan</v>
          </cell>
          <cell r="D296">
            <v>0.61391830000000003</v>
          </cell>
        </row>
        <row r="297">
          <cell r="C297" t="str">
            <v>Sweden</v>
          </cell>
          <cell r="D297">
            <v>4.7966000000000002E-2</v>
          </cell>
        </row>
        <row r="298">
          <cell r="C298" t="str">
            <v>Switzerland</v>
          </cell>
          <cell r="D298">
            <v>2.5722999999999999E-2</v>
          </cell>
        </row>
        <row r="299">
          <cell r="C299" t="str">
            <v>Syria</v>
          </cell>
          <cell r="D299">
            <v>0.60439919999999991</v>
          </cell>
        </row>
        <row r="300">
          <cell r="C300" t="str">
            <v>Tajikistan</v>
          </cell>
          <cell r="D300">
            <v>2.8018299999999999E-2</v>
          </cell>
        </row>
        <row r="301">
          <cell r="C301" t="str">
            <v>United Republic of Tanzania</v>
          </cell>
          <cell r="D301">
            <v>0.31551220000000002</v>
          </cell>
        </row>
        <row r="302">
          <cell r="C302" t="str">
            <v>Thailand</v>
          </cell>
          <cell r="D302">
            <v>0.5109283</v>
          </cell>
        </row>
        <row r="303">
          <cell r="C303" t="str">
            <v>Togo</v>
          </cell>
          <cell r="D303">
            <v>0.45866969999999996</v>
          </cell>
        </row>
        <row r="304">
          <cell r="C304" t="str">
            <v>Trinidad and Tobago</v>
          </cell>
          <cell r="D304">
            <v>0.7243096</v>
          </cell>
        </row>
        <row r="305">
          <cell r="C305" t="str">
            <v>Tunisia</v>
          </cell>
          <cell r="D305">
            <v>0.54585859999999997</v>
          </cell>
        </row>
        <row r="306">
          <cell r="C306" t="str">
            <v>Turkey</v>
          </cell>
          <cell r="D306">
            <v>0.438222</v>
          </cell>
        </row>
        <row r="307">
          <cell r="C307" t="str">
            <v>Turkmenistan</v>
          </cell>
          <cell r="D307">
            <v>0.79513040000000001</v>
          </cell>
        </row>
        <row r="308">
          <cell r="C308" t="str">
            <v>Ukraine</v>
          </cell>
          <cell r="D308">
            <v>0.34432879999999999</v>
          </cell>
        </row>
        <row r="309">
          <cell r="C309" t="str">
            <v>United Arab Emirates</v>
          </cell>
          <cell r="D309">
            <v>0.81998559999999998</v>
          </cell>
        </row>
        <row r="310">
          <cell r="C310" t="str">
            <v>United Kingdom</v>
          </cell>
          <cell r="D310">
            <v>0.50473299999999999</v>
          </cell>
        </row>
        <row r="311">
          <cell r="C311" t="str">
            <v>United States</v>
          </cell>
          <cell r="D311">
            <v>0.55865999999999993</v>
          </cell>
        </row>
        <row r="312">
          <cell r="C312" t="str">
            <v>Uruguay</v>
          </cell>
          <cell r="D312">
            <v>0.2963499</v>
          </cell>
        </row>
        <row r="313">
          <cell r="C313" t="str">
            <v>Uzbekistan</v>
          </cell>
          <cell r="D313">
            <v>0.44636000000000003</v>
          </cell>
        </row>
        <row r="314">
          <cell r="C314" t="str">
            <v>Venezuela</v>
          </cell>
          <cell r="D314">
            <v>0.20844220000000002</v>
          </cell>
        </row>
        <row r="315">
          <cell r="C315" t="str">
            <v>Vietnam</v>
          </cell>
          <cell r="D315">
            <v>0.39631379999999999</v>
          </cell>
        </row>
        <row r="316">
          <cell r="C316" t="str">
            <v>Yemen</v>
          </cell>
          <cell r="D316">
            <v>0.82303110000000002</v>
          </cell>
        </row>
        <row r="317">
          <cell r="C317" t="str">
            <v>Zambia</v>
          </cell>
          <cell r="D317">
            <v>6.7573999999999993E-3</v>
          </cell>
        </row>
        <row r="318">
          <cell r="C318" t="str">
            <v>Zimbabwe</v>
          </cell>
          <cell r="D318">
            <v>0.57276890000000003</v>
          </cell>
        </row>
        <row r="319">
          <cell r="C319" t="str">
            <v>Other Africa</v>
          </cell>
          <cell r="D319">
            <v>0.48861130000000003</v>
          </cell>
        </row>
        <row r="320">
          <cell r="C320" t="str">
            <v>Other Latin America</v>
          </cell>
          <cell r="D320">
            <v>0.50899280000000002</v>
          </cell>
        </row>
        <row r="321">
          <cell r="C321" t="str">
            <v>Other Asia</v>
          </cell>
          <cell r="D321">
            <v>0.3078166</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tabSelected="1" zoomScale="85" zoomScaleNormal="85" workbookViewId="0">
      <selection activeCell="G3" sqref="G3"/>
    </sheetView>
  </sheetViews>
  <sheetFormatPr defaultColWidth="0" defaultRowHeight="14.25" zeroHeight="1"/>
  <cols>
    <col min="1" max="1" width="3.28515625" style="13" customWidth="1"/>
    <col min="2" max="2" width="75.5703125" style="13" customWidth="1"/>
    <col min="3" max="10" width="9.140625" style="13" customWidth="1"/>
    <col min="11" max="18" width="9.140625" style="13" hidden="1" customWidth="1"/>
    <col min="19" max="16384" width="9.140625" style="13" hidden="1"/>
  </cols>
  <sheetData>
    <row r="1" spans="2:2"/>
    <row r="2" spans="2:2" ht="35.25">
      <c r="B2" s="14" t="s">
        <v>955</v>
      </c>
    </row>
    <row r="3" spans="2:2" s="16" customFormat="1" ht="27.75">
      <c r="B3" s="15" t="s">
        <v>626</v>
      </c>
    </row>
    <row r="4" spans="2:2" ht="20.25">
      <c r="B4" s="404"/>
    </row>
    <row r="5" spans="2:2" ht="20.25">
      <c r="B5" s="17"/>
    </row>
    <row r="6" spans="2:2" ht="18">
      <c r="B6" s="18" t="s">
        <v>581</v>
      </c>
    </row>
    <row r="7" spans="2:2"/>
    <row r="8" spans="2:2"/>
    <row r="9" spans="2:2"/>
    <row r="10" spans="2:2"/>
    <row r="11" spans="2:2">
      <c r="B11" s="19"/>
    </row>
    <row r="12" spans="2:2" ht="42.75">
      <c r="B12" s="19" t="s">
        <v>825</v>
      </c>
    </row>
    <row r="13" spans="2:2">
      <c r="B13" s="19"/>
    </row>
    <row r="14" spans="2:2" ht="15">
      <c r="B14" s="20" t="s">
        <v>796</v>
      </c>
    </row>
    <row r="15" spans="2:2" ht="34.5" customHeight="1">
      <c r="B15" s="21" t="s">
        <v>826</v>
      </c>
    </row>
    <row r="16" spans="2:2" ht="36.75" customHeight="1">
      <c r="B16" s="22" t="s">
        <v>827</v>
      </c>
    </row>
    <row r="17" spans="2:7" ht="15">
      <c r="B17" s="19"/>
      <c r="D17" s="37" t="s">
        <v>685</v>
      </c>
      <c r="E17" s="41"/>
      <c r="F17" s="41"/>
      <c r="G17" s="38"/>
    </row>
    <row r="18" spans="2:7">
      <c r="B18" s="19" t="s">
        <v>800</v>
      </c>
      <c r="D18" s="33" t="s">
        <v>872</v>
      </c>
      <c r="E18" s="31"/>
      <c r="F18" s="31"/>
      <c r="G18" s="32"/>
    </row>
    <row r="19" spans="2:7">
      <c r="B19" s="19" t="s">
        <v>864</v>
      </c>
      <c r="D19" s="33" t="s">
        <v>873</v>
      </c>
      <c r="E19" s="31"/>
      <c r="F19" s="31"/>
      <c r="G19" s="32"/>
    </row>
    <row r="20" spans="2:7">
      <c r="B20" s="19" t="s">
        <v>865</v>
      </c>
      <c r="D20" s="33" t="s">
        <v>874</v>
      </c>
      <c r="E20" s="31"/>
      <c r="F20" s="31"/>
      <c r="G20" s="32"/>
    </row>
    <row r="21" spans="2:7">
      <c r="B21" s="19" t="s">
        <v>866</v>
      </c>
      <c r="D21" s="34" t="s">
        <v>875</v>
      </c>
      <c r="E21" s="35"/>
      <c r="F21" s="35"/>
      <c r="G21" s="36"/>
    </row>
    <row r="22" spans="2:7" ht="15">
      <c r="B22" s="19" t="s">
        <v>867</v>
      </c>
      <c r="D22" s="37" t="s">
        <v>950</v>
      </c>
      <c r="E22" s="41"/>
      <c r="F22" s="41"/>
      <c r="G22" s="38"/>
    </row>
    <row r="23" spans="2:7">
      <c r="B23" s="19" t="s">
        <v>801</v>
      </c>
      <c r="D23" s="33" t="s">
        <v>693</v>
      </c>
      <c r="E23" s="31"/>
      <c r="F23" s="31"/>
      <c r="G23" s="32"/>
    </row>
    <row r="24" spans="2:7">
      <c r="B24" s="19" t="s">
        <v>802</v>
      </c>
      <c r="D24" s="33" t="s">
        <v>694</v>
      </c>
      <c r="E24" s="31"/>
      <c r="F24" s="31"/>
      <c r="G24" s="32"/>
    </row>
    <row r="25" spans="2:7">
      <c r="B25" s="19" t="s">
        <v>870</v>
      </c>
      <c r="D25" s="34" t="s">
        <v>847</v>
      </c>
      <c r="E25" s="35"/>
      <c r="F25" s="35"/>
      <c r="G25" s="36"/>
    </row>
    <row r="26" spans="2:7" ht="15">
      <c r="B26" s="19" t="s">
        <v>805</v>
      </c>
      <c r="D26" s="37" t="s">
        <v>835</v>
      </c>
      <c r="E26" s="41"/>
      <c r="F26" s="41"/>
      <c r="G26" s="38"/>
    </row>
    <row r="27" spans="2:7">
      <c r="B27" s="19" t="s">
        <v>869</v>
      </c>
      <c r="D27" s="33" t="s">
        <v>836</v>
      </c>
      <c r="E27" s="32"/>
      <c r="F27" s="31"/>
      <c r="G27" s="32"/>
    </row>
    <row r="28" spans="2:7">
      <c r="B28" s="19" t="s">
        <v>806</v>
      </c>
      <c r="D28" s="33" t="s">
        <v>837</v>
      </c>
      <c r="E28" s="32"/>
      <c r="F28" s="31"/>
      <c r="G28" s="32"/>
    </row>
    <row r="29" spans="2:7">
      <c r="B29" s="19" t="s">
        <v>868</v>
      </c>
      <c r="D29" s="34" t="s">
        <v>838</v>
      </c>
      <c r="E29" s="36"/>
      <c r="F29" s="35"/>
      <c r="G29" s="36"/>
    </row>
    <row r="30" spans="2:7" ht="15">
      <c r="B30" s="19" t="s">
        <v>807</v>
      </c>
      <c r="D30" s="37" t="s">
        <v>833</v>
      </c>
      <c r="E30" s="38"/>
      <c r="F30" s="41"/>
      <c r="G30" s="38"/>
    </row>
    <row r="31" spans="2:7">
      <c r="B31" s="19" t="s">
        <v>871</v>
      </c>
      <c r="D31" s="33" t="s">
        <v>834</v>
      </c>
      <c r="E31" s="31"/>
      <c r="F31" s="31"/>
      <c r="G31" s="32"/>
    </row>
    <row r="32" spans="2:7">
      <c r="B32" s="19" t="s">
        <v>808</v>
      </c>
      <c r="D32" s="34" t="s">
        <v>839</v>
      </c>
      <c r="E32" s="35"/>
      <c r="F32" s="35"/>
      <c r="G32" s="36"/>
    </row>
    <row r="33" spans="2:4">
      <c r="B33" s="19"/>
    </row>
    <row r="34" spans="2:4" ht="71.25">
      <c r="B34" s="23" t="s">
        <v>627</v>
      </c>
    </row>
    <row r="35" spans="2:4">
      <c r="B35" s="19"/>
    </row>
    <row r="36" spans="2:4" ht="71.25">
      <c r="B36" s="19" t="s">
        <v>582</v>
      </c>
    </row>
    <row r="37" spans="2:4">
      <c r="B37" s="24"/>
      <c r="C37" s="24"/>
      <c r="D37" s="24"/>
    </row>
    <row r="38" spans="2:4">
      <c r="B38" s="24" t="s">
        <v>797</v>
      </c>
      <c r="C38" s="24"/>
      <c r="D38" s="24"/>
    </row>
    <row r="39" spans="2:4" ht="27.75" customHeight="1">
      <c r="B39" s="25" t="s">
        <v>798</v>
      </c>
    </row>
    <row r="40" spans="2:4" ht="37.5" customHeight="1">
      <c r="B40" s="25" t="s">
        <v>799</v>
      </c>
    </row>
    <row r="41" spans="2:4" ht="18.75" customHeight="1">
      <c r="B41" s="25" t="s">
        <v>803</v>
      </c>
    </row>
    <row r="42" spans="2:4" ht="20.25" customHeight="1">
      <c r="B42" s="25" t="s">
        <v>804</v>
      </c>
    </row>
    <row r="43" spans="2:4">
      <c r="B43" s="19"/>
    </row>
    <row r="44" spans="2:4">
      <c r="B44" s="19"/>
    </row>
    <row r="45" spans="2:4">
      <c r="B45" s="19"/>
    </row>
    <row r="46" spans="2:4">
      <c r="B46" s="19"/>
    </row>
    <row r="47" spans="2:4">
      <c r="B47" s="19"/>
    </row>
    <row r="48" spans="2:4">
      <c r="B48" s="19"/>
    </row>
    <row r="49" spans="2:2">
      <c r="B49" s="19"/>
    </row>
    <row r="50" spans="2:2">
      <c r="B50" s="19"/>
    </row>
    <row r="51" spans="2:2">
      <c r="B51" s="19"/>
    </row>
    <row r="52" spans="2:2">
      <c r="B52" s="19"/>
    </row>
    <row r="53" spans="2:2">
      <c r="B53" s="19"/>
    </row>
    <row r="54" spans="2:2">
      <c r="B54" s="19"/>
    </row>
    <row r="55" spans="2:2">
      <c r="B55" s="19"/>
    </row>
    <row r="56" spans="2:2">
      <c r="B56" s="19"/>
    </row>
    <row r="57" spans="2:2">
      <c r="B57" s="19"/>
    </row>
    <row r="58" spans="2:2">
      <c r="B58" s="19"/>
    </row>
    <row r="59" spans="2:2">
      <c r="B59" s="19"/>
    </row>
    <row r="60" spans="2:2">
      <c r="B60" s="19"/>
    </row>
    <row r="61" spans="2:2">
      <c r="B61" s="19"/>
    </row>
    <row r="62" spans="2:2">
      <c r="B62" s="19"/>
    </row>
    <row r="63" spans="2:2">
      <c r="B63" s="19"/>
    </row>
    <row r="64" spans="2:2">
      <c r="B64" s="19"/>
    </row>
    <row r="65" spans="2:2">
      <c r="B65" s="19"/>
    </row>
    <row r="66" spans="2:2">
      <c r="B66" s="19"/>
    </row>
    <row r="67" spans="2:2">
      <c r="B67" s="19"/>
    </row>
    <row r="68" spans="2:2">
      <c r="B68" s="19"/>
    </row>
    <row r="69" spans="2:2">
      <c r="B69" s="19"/>
    </row>
    <row r="70" spans="2:2">
      <c r="B70" s="19"/>
    </row>
    <row r="71" spans="2:2"/>
    <row r="72" spans="2:2"/>
    <row r="73" spans="2:2"/>
    <row r="74" spans="2:2"/>
    <row r="75" spans="2: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IV212"/>
  <sheetViews>
    <sheetView zoomScale="85" zoomScaleNormal="85" workbookViewId="0">
      <selection activeCell="C3" sqref="C3"/>
    </sheetView>
  </sheetViews>
  <sheetFormatPr defaultColWidth="0" defaultRowHeight="14.25" zeroHeight="1"/>
  <cols>
    <col min="1" max="2" width="3" style="13" customWidth="1"/>
    <col min="3" max="3" width="30.42578125" style="13" customWidth="1"/>
    <col min="4" max="4" width="16.28515625" style="13" customWidth="1"/>
    <col min="5" max="149" width="9.140625" style="13" customWidth="1"/>
    <col min="150" max="256" width="0" style="13" hidden="1" customWidth="1"/>
    <col min="257" max="16384" width="9.140625" style="13" hidden="1"/>
  </cols>
  <sheetData>
    <row r="1" spans="2:4"/>
    <row r="2" spans="2:4" ht="23.25">
      <c r="C2" s="133" t="s">
        <v>951</v>
      </c>
    </row>
    <row r="3" spans="2:4"/>
    <row r="4" spans="2:4" ht="15.75">
      <c r="C4" s="283" t="s">
        <v>11</v>
      </c>
    </row>
    <row r="5" spans="2:4">
      <c r="C5" s="40" t="s">
        <v>12</v>
      </c>
    </row>
    <row r="6" spans="2:4">
      <c r="C6" s="227" t="s">
        <v>13</v>
      </c>
      <c r="D6" s="227" t="s">
        <v>14</v>
      </c>
    </row>
    <row r="7" spans="2:4">
      <c r="B7" s="13">
        <v>1</v>
      </c>
      <c r="C7" s="31" t="s">
        <v>15</v>
      </c>
      <c r="D7" s="214">
        <f>1/0.85</f>
        <v>1.1764705882352942</v>
      </c>
    </row>
    <row r="8" spans="2:4">
      <c r="B8" s="13">
        <v>2</v>
      </c>
      <c r="C8" s="31" t="s">
        <v>16</v>
      </c>
      <c r="D8" s="284">
        <v>1.35616</v>
      </c>
    </row>
    <row r="9" spans="2:4">
      <c r="B9" s="13">
        <v>3</v>
      </c>
      <c r="C9" s="13" t="s">
        <v>17</v>
      </c>
      <c r="D9" s="284">
        <v>1.35616</v>
      </c>
    </row>
    <row r="10" spans="2:4">
      <c r="B10" s="13">
        <v>4</v>
      </c>
      <c r="C10" s="31" t="s">
        <v>19</v>
      </c>
      <c r="D10" s="284">
        <v>1.6</v>
      </c>
    </row>
    <row r="11" spans="2:4">
      <c r="B11" s="13">
        <v>5</v>
      </c>
      <c r="C11" s="31" t="s">
        <v>20</v>
      </c>
      <c r="D11" s="284">
        <v>1.2623599999999999</v>
      </c>
    </row>
    <row r="12" spans="2:4">
      <c r="B12" s="13">
        <v>6</v>
      </c>
      <c r="C12" s="13" t="s">
        <v>21</v>
      </c>
      <c r="D12" s="284">
        <v>1.8442000000000001</v>
      </c>
    </row>
    <row r="13" spans="2:4">
      <c r="B13" s="13">
        <v>7</v>
      </c>
      <c r="C13" s="13" t="s">
        <v>22</v>
      </c>
      <c r="D13" s="284">
        <v>1.415</v>
      </c>
    </row>
    <row r="14" spans="2:4">
      <c r="B14" s="13">
        <v>8</v>
      </c>
      <c r="C14" s="31" t="s">
        <v>23</v>
      </c>
      <c r="D14" s="214">
        <v>1.2607200000000001</v>
      </c>
    </row>
    <row r="15" spans="2:4">
      <c r="B15" s="13">
        <v>9</v>
      </c>
      <c r="C15" s="35" t="s">
        <v>10</v>
      </c>
      <c r="D15" s="285">
        <v>1</v>
      </c>
    </row>
    <row r="16" spans="2:4">
      <c r="C16" s="241" t="s">
        <v>24</v>
      </c>
    </row>
    <row r="17" spans="2:8"/>
    <row r="18" spans="2:8" ht="15.75">
      <c r="C18" s="283" t="s">
        <v>25</v>
      </c>
    </row>
    <row r="19" spans="2:8">
      <c r="C19" s="40" t="s">
        <v>26</v>
      </c>
    </row>
    <row r="20" spans="2:8" ht="38.25">
      <c r="B20" s="31"/>
      <c r="C20" s="286"/>
      <c r="D20" s="235" t="s">
        <v>27</v>
      </c>
      <c r="E20" s="235" t="s">
        <v>28</v>
      </c>
      <c r="F20" s="235" t="s">
        <v>29</v>
      </c>
      <c r="G20" s="235" t="s">
        <v>30</v>
      </c>
      <c r="H20" s="26"/>
    </row>
    <row r="21" spans="2:8">
      <c r="B21" s="31"/>
      <c r="C21" s="287" t="s">
        <v>31</v>
      </c>
      <c r="D21" s="235">
        <v>1</v>
      </c>
      <c r="E21" s="235">
        <v>21</v>
      </c>
      <c r="F21" s="235">
        <v>310</v>
      </c>
      <c r="G21" s="286"/>
      <c r="H21" s="26"/>
    </row>
    <row r="22" spans="2:8">
      <c r="B22" s="31">
        <v>1</v>
      </c>
      <c r="C22" s="31" t="s">
        <v>15</v>
      </c>
      <c r="D22" s="288">
        <v>74100</v>
      </c>
      <c r="E22" s="214">
        <v>3.9</v>
      </c>
      <c r="F22" s="214">
        <v>3.9</v>
      </c>
      <c r="G22" s="289">
        <f>D22+E22*$E$21+F22*$F$21</f>
        <v>75390.899999999994</v>
      </c>
    </row>
    <row r="23" spans="2:8">
      <c r="B23" s="31">
        <v>2</v>
      </c>
      <c r="C23" s="31" t="s">
        <v>16</v>
      </c>
      <c r="D23" s="288">
        <v>69300</v>
      </c>
      <c r="E23" s="290">
        <v>3.8</v>
      </c>
      <c r="F23" s="214">
        <v>5.7</v>
      </c>
      <c r="G23" s="289">
        <f t="shared" ref="G23:G30" si="0">D23+E23*$E$21+F23*$F$21</f>
        <v>71146.8</v>
      </c>
      <c r="H23" s="24" t="s">
        <v>32</v>
      </c>
    </row>
    <row r="24" spans="2:8">
      <c r="B24" s="31">
        <v>3</v>
      </c>
      <c r="C24" s="31" t="s">
        <v>17</v>
      </c>
      <c r="D24" s="199">
        <v>70800</v>
      </c>
      <c r="E24" s="214">
        <v>3</v>
      </c>
      <c r="F24" s="214">
        <v>0.6</v>
      </c>
      <c r="G24" s="289">
        <f t="shared" si="0"/>
        <v>71049</v>
      </c>
      <c r="H24" s="24"/>
    </row>
    <row r="25" spans="2:8">
      <c r="B25" s="31">
        <v>4</v>
      </c>
      <c r="C25" s="31" t="s">
        <v>19</v>
      </c>
      <c r="D25" s="288">
        <v>56100</v>
      </c>
      <c r="E25" s="290">
        <v>92</v>
      </c>
      <c r="F25" s="214">
        <v>3</v>
      </c>
      <c r="G25" s="289">
        <f t="shared" si="0"/>
        <v>58962</v>
      </c>
      <c r="H25" s="24"/>
    </row>
    <row r="26" spans="2:8">
      <c r="B26" s="31">
        <v>5</v>
      </c>
      <c r="C26" s="31" t="s">
        <v>20</v>
      </c>
      <c r="D26" s="291">
        <v>79600</v>
      </c>
      <c r="E26" s="214">
        <f>(260+18)/2</f>
        <v>139</v>
      </c>
      <c r="F26" s="214">
        <v>41</v>
      </c>
      <c r="G26" s="289">
        <f t="shared" si="0"/>
        <v>95229</v>
      </c>
      <c r="H26" s="292" t="s">
        <v>33</v>
      </c>
    </row>
    <row r="27" spans="2:8">
      <c r="B27" s="31">
        <v>6</v>
      </c>
      <c r="C27" s="31" t="s">
        <v>21</v>
      </c>
      <c r="D27" s="288">
        <v>63100</v>
      </c>
      <c r="E27" s="290">
        <v>62</v>
      </c>
      <c r="F27" s="214">
        <v>0.2</v>
      </c>
      <c r="G27" s="289">
        <f t="shared" si="0"/>
        <v>64464</v>
      </c>
      <c r="H27" s="24"/>
    </row>
    <row r="28" spans="2:8">
      <c r="B28" s="31">
        <v>7</v>
      </c>
      <c r="C28" s="31" t="s">
        <v>22</v>
      </c>
      <c r="D28" s="199">
        <v>70000</v>
      </c>
      <c r="E28" s="214">
        <v>3</v>
      </c>
      <c r="F28" s="214">
        <v>0.6</v>
      </c>
      <c r="G28" s="289">
        <f t="shared" si="0"/>
        <v>70249</v>
      </c>
      <c r="H28" s="24"/>
    </row>
    <row r="29" spans="2:8">
      <c r="B29" s="31">
        <v>8</v>
      </c>
      <c r="C29" s="31" t="s">
        <v>23</v>
      </c>
      <c r="D29" s="288">
        <v>71500</v>
      </c>
      <c r="E29" s="290">
        <v>3</v>
      </c>
      <c r="F29" s="214">
        <v>0.6</v>
      </c>
      <c r="G29" s="289">
        <f t="shared" si="0"/>
        <v>71749</v>
      </c>
    </row>
    <row r="30" spans="2:8">
      <c r="B30" s="31">
        <v>9</v>
      </c>
      <c r="C30" s="35" t="s">
        <v>10</v>
      </c>
      <c r="D30" s="293">
        <v>56100</v>
      </c>
      <c r="E30" s="294">
        <v>92</v>
      </c>
      <c r="F30" s="285">
        <v>3</v>
      </c>
      <c r="G30" s="295">
        <f t="shared" si="0"/>
        <v>58962</v>
      </c>
    </row>
    <row r="31" spans="2:8" s="296" customFormat="1" ht="12">
      <c r="C31" s="297" t="s">
        <v>34</v>
      </c>
      <c r="D31" s="298"/>
      <c r="E31" s="299"/>
    </row>
    <row r="32" spans="2:8" s="296" customFormat="1" ht="12">
      <c r="C32" s="297" t="s">
        <v>35</v>
      </c>
      <c r="D32" s="298"/>
    </row>
    <row r="33" spans="2:256" s="296" customFormat="1" ht="12">
      <c r="C33" s="300" t="s">
        <v>36</v>
      </c>
      <c r="D33" s="298"/>
    </row>
    <row r="34" spans="2:256"/>
    <row r="35" spans="2:256" ht="15.75">
      <c r="C35" s="283" t="s">
        <v>37</v>
      </c>
    </row>
    <row r="36" spans="2:256">
      <c r="C36" s="40" t="s">
        <v>38</v>
      </c>
    </row>
    <row r="37" spans="2:256" ht="25.5">
      <c r="C37" s="287" t="s">
        <v>39</v>
      </c>
      <c r="D37" s="301" t="s">
        <v>40</v>
      </c>
      <c r="E37" s="301" t="s">
        <v>41</v>
      </c>
      <c r="F37" s="301" t="s">
        <v>42</v>
      </c>
      <c r="G37" s="301" t="s">
        <v>43</v>
      </c>
      <c r="H37" s="301" t="s">
        <v>44</v>
      </c>
      <c r="I37" s="301" t="s">
        <v>45</v>
      </c>
      <c r="J37" s="301" t="s">
        <v>46</v>
      </c>
      <c r="K37" s="301" t="s">
        <v>47</v>
      </c>
      <c r="L37" s="301" t="s">
        <v>48</v>
      </c>
      <c r="M37" s="301" t="s">
        <v>49</v>
      </c>
      <c r="N37" s="301" t="s">
        <v>50</v>
      </c>
      <c r="O37" s="301" t="s">
        <v>51</v>
      </c>
      <c r="P37" s="301" t="s">
        <v>52</v>
      </c>
      <c r="Q37" s="301" t="s">
        <v>53</v>
      </c>
      <c r="R37" s="301" t="s">
        <v>54</v>
      </c>
      <c r="S37" s="301" t="s">
        <v>55</v>
      </c>
      <c r="T37" s="301" t="s">
        <v>56</v>
      </c>
      <c r="U37" s="301" t="s">
        <v>57</v>
      </c>
      <c r="V37" s="301" t="s">
        <v>58</v>
      </c>
      <c r="W37" s="301" t="s">
        <v>59</v>
      </c>
      <c r="X37" s="301" t="s">
        <v>60</v>
      </c>
      <c r="Y37" s="301" t="s">
        <v>61</v>
      </c>
      <c r="Z37" s="301" t="s">
        <v>62</v>
      </c>
      <c r="AA37" s="301" t="s">
        <v>63</v>
      </c>
      <c r="AB37" s="301" t="s">
        <v>64</v>
      </c>
      <c r="AC37" s="301" t="s">
        <v>65</v>
      </c>
      <c r="AD37" s="301" t="s">
        <v>66</v>
      </c>
      <c r="AE37" s="301" t="s">
        <v>67</v>
      </c>
      <c r="AF37" s="301" t="s">
        <v>68</v>
      </c>
      <c r="AG37" s="301" t="s">
        <v>69</v>
      </c>
      <c r="AH37" s="301" t="s">
        <v>70</v>
      </c>
      <c r="AI37" s="301" t="s">
        <v>71</v>
      </c>
      <c r="AJ37" s="301" t="s">
        <v>72</v>
      </c>
      <c r="AK37" s="301" t="s">
        <v>73</v>
      </c>
      <c r="AL37" s="301" t="s">
        <v>74</v>
      </c>
      <c r="AM37" s="301" t="s">
        <v>75</v>
      </c>
      <c r="AN37" s="301" t="s">
        <v>76</v>
      </c>
      <c r="AO37" s="301" t="s">
        <v>9</v>
      </c>
      <c r="AP37" s="301" t="s">
        <v>77</v>
      </c>
      <c r="AQ37" s="301" t="s">
        <v>78</v>
      </c>
      <c r="AR37" s="301" t="s">
        <v>79</v>
      </c>
      <c r="AS37" s="301" t="s">
        <v>80</v>
      </c>
      <c r="AT37" s="301" t="s">
        <v>81</v>
      </c>
      <c r="AU37" s="301" t="s">
        <v>82</v>
      </c>
      <c r="AV37" s="301" t="s">
        <v>83</v>
      </c>
      <c r="AW37" s="301" t="s">
        <v>84</v>
      </c>
      <c r="AX37" s="301" t="s">
        <v>85</v>
      </c>
      <c r="AY37" s="301" t="s">
        <v>86</v>
      </c>
      <c r="AZ37" s="301" t="s">
        <v>87</v>
      </c>
      <c r="BA37" s="301" t="s">
        <v>88</v>
      </c>
      <c r="BB37" s="301" t="s">
        <v>89</v>
      </c>
      <c r="BC37" s="301" t="s">
        <v>90</v>
      </c>
      <c r="BD37" s="301" t="s">
        <v>91</v>
      </c>
      <c r="BE37" s="301" t="s">
        <v>92</v>
      </c>
      <c r="BF37" s="301" t="s">
        <v>93</v>
      </c>
      <c r="BG37" s="301" t="s">
        <v>94</v>
      </c>
      <c r="BH37" s="301" t="s">
        <v>95</v>
      </c>
      <c r="BI37" s="301" t="s">
        <v>96</v>
      </c>
      <c r="BJ37" s="301" t="s">
        <v>97</v>
      </c>
      <c r="BK37" s="301" t="s">
        <v>98</v>
      </c>
      <c r="BL37" s="301" t="s">
        <v>99</v>
      </c>
      <c r="BM37" s="301" t="s">
        <v>100</v>
      </c>
      <c r="BN37" s="301" t="s">
        <v>101</v>
      </c>
      <c r="BO37" s="301" t="s">
        <v>102</v>
      </c>
      <c r="BP37" s="301" t="s">
        <v>103</v>
      </c>
      <c r="BQ37" s="301" t="s">
        <v>104</v>
      </c>
      <c r="BR37" s="301" t="s">
        <v>105</v>
      </c>
      <c r="BS37" s="301" t="s">
        <v>106</v>
      </c>
      <c r="BT37" s="301" t="s">
        <v>107</v>
      </c>
      <c r="BU37" s="301" t="s">
        <v>108</v>
      </c>
      <c r="BV37" s="301" t="s">
        <v>109</v>
      </c>
      <c r="BW37" s="301" t="s">
        <v>110</v>
      </c>
      <c r="BX37" s="301" t="s">
        <v>111</v>
      </c>
      <c r="BY37" s="301" t="s">
        <v>112</v>
      </c>
      <c r="BZ37" s="301" t="s">
        <v>113</v>
      </c>
      <c r="CA37" s="301" t="s">
        <v>114</v>
      </c>
      <c r="CB37" s="301" t="s">
        <v>115</v>
      </c>
      <c r="CC37" s="301" t="s">
        <v>116</v>
      </c>
      <c r="CD37" s="301" t="s">
        <v>117</v>
      </c>
      <c r="CE37" s="301" t="s">
        <v>118</v>
      </c>
      <c r="CF37" s="301" t="s">
        <v>119</v>
      </c>
      <c r="CG37" s="301" t="s">
        <v>120</v>
      </c>
      <c r="CH37" s="301" t="s">
        <v>121</v>
      </c>
      <c r="CI37" s="301" t="s">
        <v>122</v>
      </c>
      <c r="CJ37" s="301" t="s">
        <v>123</v>
      </c>
      <c r="CK37" s="301" t="s">
        <v>124</v>
      </c>
      <c r="CL37" s="301" t="s">
        <v>125</v>
      </c>
      <c r="CM37" s="301" t="s">
        <v>126</v>
      </c>
      <c r="CN37" s="301" t="s">
        <v>127</v>
      </c>
      <c r="CO37" s="301" t="s">
        <v>128</v>
      </c>
      <c r="CP37" s="301" t="s">
        <v>129</v>
      </c>
      <c r="CQ37" s="301" t="s">
        <v>130</v>
      </c>
      <c r="CR37" s="301" t="s">
        <v>131</v>
      </c>
      <c r="CS37" s="301" t="s">
        <v>132</v>
      </c>
      <c r="CT37" s="301" t="s">
        <v>133</v>
      </c>
      <c r="CU37" s="301" t="s">
        <v>134</v>
      </c>
      <c r="CV37" s="301" t="s">
        <v>135</v>
      </c>
      <c r="CW37" s="301" t="s">
        <v>136</v>
      </c>
      <c r="CX37" s="301" t="s">
        <v>137</v>
      </c>
      <c r="CY37" s="301" t="s">
        <v>138</v>
      </c>
      <c r="CZ37" s="301" t="s">
        <v>139</v>
      </c>
      <c r="DA37" s="301" t="s">
        <v>140</v>
      </c>
      <c r="DB37" s="301" t="s">
        <v>141</v>
      </c>
      <c r="DC37" s="301" t="s">
        <v>142</v>
      </c>
      <c r="DD37" s="301" t="s">
        <v>143</v>
      </c>
      <c r="DE37" s="301" t="s">
        <v>144</v>
      </c>
      <c r="DF37" s="301" t="s">
        <v>145</v>
      </c>
      <c r="DG37" s="301" t="s">
        <v>146</v>
      </c>
      <c r="DH37" s="301" t="s">
        <v>147</v>
      </c>
      <c r="DI37" s="301" t="s">
        <v>148</v>
      </c>
      <c r="DJ37" s="301" t="s">
        <v>149</v>
      </c>
      <c r="DK37" s="301" t="s">
        <v>150</v>
      </c>
      <c r="DL37" s="301" t="s">
        <v>151</v>
      </c>
      <c r="DM37" s="301" t="s">
        <v>152</v>
      </c>
      <c r="DN37" s="301" t="s">
        <v>153</v>
      </c>
      <c r="DO37" s="301" t="s">
        <v>154</v>
      </c>
      <c r="DP37" s="301" t="s">
        <v>155</v>
      </c>
      <c r="DQ37" s="301" t="s">
        <v>156</v>
      </c>
      <c r="DR37" s="301" t="s">
        <v>157</v>
      </c>
      <c r="DS37" s="301" t="s">
        <v>158</v>
      </c>
      <c r="DT37" s="301" t="s">
        <v>159</v>
      </c>
      <c r="DU37" s="301" t="s">
        <v>160</v>
      </c>
      <c r="DV37" s="301" t="s">
        <v>161</v>
      </c>
      <c r="DW37" s="301" t="s">
        <v>162</v>
      </c>
      <c r="DX37" s="301" t="s">
        <v>163</v>
      </c>
      <c r="DY37" s="301" t="s">
        <v>164</v>
      </c>
      <c r="DZ37" s="301" t="s">
        <v>165</v>
      </c>
      <c r="EA37" s="301" t="s">
        <v>166</v>
      </c>
      <c r="EB37" s="301" t="s">
        <v>167</v>
      </c>
      <c r="EC37" s="301" t="s">
        <v>168</v>
      </c>
      <c r="ED37" s="301" t="s">
        <v>169</v>
      </c>
      <c r="EE37" s="301" t="s">
        <v>170</v>
      </c>
      <c r="EF37" s="301" t="s">
        <v>171</v>
      </c>
      <c r="EG37" s="301" t="s">
        <v>172</v>
      </c>
      <c r="EH37" s="301" t="s">
        <v>173</v>
      </c>
      <c r="EI37" s="301" t="s">
        <v>174</v>
      </c>
      <c r="EJ37" s="301" t="s">
        <v>175</v>
      </c>
      <c r="EK37" s="301" t="s">
        <v>176</v>
      </c>
      <c r="EL37" s="301" t="s">
        <v>177</v>
      </c>
      <c r="EM37" s="301" t="s">
        <v>178</v>
      </c>
    </row>
    <row r="38" spans="2:256">
      <c r="B38" s="13">
        <v>1</v>
      </c>
      <c r="C38" s="13" t="s">
        <v>15</v>
      </c>
      <c r="D38" s="291">
        <v>42600</v>
      </c>
      <c r="E38" s="302">
        <v>42600</v>
      </c>
      <c r="F38" s="302">
        <v>42600</v>
      </c>
      <c r="G38" s="302">
        <v>42600</v>
      </c>
      <c r="H38" s="302">
        <v>42600</v>
      </c>
      <c r="I38" s="302">
        <v>42600</v>
      </c>
      <c r="J38" s="302">
        <v>42600</v>
      </c>
      <c r="K38" s="302">
        <v>42600</v>
      </c>
      <c r="L38" s="302">
        <v>42600</v>
      </c>
      <c r="M38" s="302">
        <v>42600</v>
      </c>
      <c r="N38" s="302">
        <v>42600</v>
      </c>
      <c r="O38" s="302">
        <v>42600</v>
      </c>
      <c r="P38" s="302">
        <v>42600</v>
      </c>
      <c r="Q38" s="302">
        <v>42600</v>
      </c>
      <c r="R38" s="302">
        <v>42600</v>
      </c>
      <c r="S38" s="302">
        <v>42600</v>
      </c>
      <c r="T38" s="302">
        <v>42600</v>
      </c>
      <c r="U38" s="302">
        <v>42600</v>
      </c>
      <c r="V38" s="302">
        <v>42600</v>
      </c>
      <c r="W38" s="302">
        <v>42600</v>
      </c>
      <c r="X38" s="302">
        <v>42600</v>
      </c>
      <c r="Y38" s="302">
        <v>42600</v>
      </c>
      <c r="Z38" s="302">
        <v>42600</v>
      </c>
      <c r="AA38" s="302">
        <v>42600</v>
      </c>
      <c r="AB38" s="302">
        <v>42600</v>
      </c>
      <c r="AC38" s="302">
        <v>42600</v>
      </c>
      <c r="AD38" s="302">
        <v>42600</v>
      </c>
      <c r="AE38" s="302">
        <v>42600</v>
      </c>
      <c r="AF38" s="302">
        <v>42600</v>
      </c>
      <c r="AG38" s="302">
        <v>42600</v>
      </c>
      <c r="AH38" s="302">
        <v>42600</v>
      </c>
      <c r="AI38" s="302">
        <v>43300</v>
      </c>
      <c r="AJ38" s="302">
        <v>43300</v>
      </c>
      <c r="AK38" s="302">
        <v>42705</v>
      </c>
      <c r="AL38" s="302">
        <v>42600</v>
      </c>
      <c r="AM38" s="302">
        <v>42600</v>
      </c>
      <c r="AN38" s="302">
        <v>43300</v>
      </c>
      <c r="AO38" s="302">
        <v>43300</v>
      </c>
      <c r="AP38" s="302">
        <v>42600</v>
      </c>
      <c r="AQ38" s="302">
        <v>43300</v>
      </c>
      <c r="AR38" s="302">
        <v>43300</v>
      </c>
      <c r="AS38" s="302">
        <v>42600</v>
      </c>
      <c r="AT38" s="302">
        <v>43300</v>
      </c>
      <c r="AU38" s="302">
        <v>42789</v>
      </c>
      <c r="AV38" s="302">
        <v>43300</v>
      </c>
      <c r="AW38" s="302">
        <v>42600</v>
      </c>
      <c r="AX38" s="302">
        <v>43300</v>
      </c>
      <c r="AY38" s="302">
        <v>43300</v>
      </c>
      <c r="AZ38" s="302">
        <v>43300</v>
      </c>
      <c r="BA38" s="302">
        <v>42705</v>
      </c>
      <c r="BB38" s="302">
        <v>43300</v>
      </c>
      <c r="BC38" s="302">
        <v>43102</v>
      </c>
      <c r="BD38" s="302">
        <v>43300</v>
      </c>
      <c r="BE38" s="302">
        <v>43300</v>
      </c>
      <c r="BF38" s="302">
        <v>43300</v>
      </c>
      <c r="BG38" s="302">
        <v>43300</v>
      </c>
      <c r="BH38" s="302">
        <v>42600</v>
      </c>
      <c r="BI38" s="302">
        <v>43300</v>
      </c>
      <c r="BJ38" s="302">
        <v>42600</v>
      </c>
      <c r="BK38" s="302">
        <v>43300</v>
      </c>
      <c r="BL38" s="302">
        <v>43300</v>
      </c>
      <c r="BM38" s="302">
        <v>43300</v>
      </c>
      <c r="BN38" s="302">
        <v>43300</v>
      </c>
      <c r="BO38" s="302">
        <v>43300</v>
      </c>
      <c r="BP38" s="302">
        <v>42600</v>
      </c>
      <c r="BQ38" s="302">
        <v>43300</v>
      </c>
      <c r="BR38" s="302">
        <v>43300</v>
      </c>
      <c r="BS38" s="302">
        <v>42600</v>
      </c>
      <c r="BT38" s="302">
        <v>43300</v>
      </c>
      <c r="BU38" s="302">
        <v>42600</v>
      </c>
      <c r="BV38" s="302">
        <v>43300</v>
      </c>
      <c r="BW38" s="302">
        <v>43300</v>
      </c>
      <c r="BX38" s="302">
        <v>43300</v>
      </c>
      <c r="BY38" s="302">
        <v>43300</v>
      </c>
      <c r="BZ38" s="302">
        <v>43300</v>
      </c>
      <c r="CA38" s="302">
        <v>43300</v>
      </c>
      <c r="CB38" s="302">
        <v>43300</v>
      </c>
      <c r="CC38" s="302">
        <v>43300</v>
      </c>
      <c r="CD38" s="302">
        <v>43300</v>
      </c>
      <c r="CE38" s="302">
        <v>43300</v>
      </c>
      <c r="CF38" s="302">
        <v>42663</v>
      </c>
      <c r="CG38" s="302">
        <v>42600</v>
      </c>
      <c r="CH38" s="302">
        <v>43300</v>
      </c>
      <c r="CI38" s="302">
        <v>43300</v>
      </c>
      <c r="CJ38" s="302">
        <v>43300</v>
      </c>
      <c r="CK38" s="302">
        <v>42600</v>
      </c>
      <c r="CL38" s="302">
        <v>42600</v>
      </c>
      <c r="CM38" s="302">
        <v>45217</v>
      </c>
      <c r="CN38" s="302">
        <v>43300</v>
      </c>
      <c r="CO38" s="302">
        <v>42600</v>
      </c>
      <c r="CP38" s="302">
        <v>42600</v>
      </c>
      <c r="CQ38" s="302">
        <v>42496</v>
      </c>
      <c r="CR38" s="302">
        <v>42600</v>
      </c>
      <c r="CS38" s="302">
        <v>42600</v>
      </c>
      <c r="CT38" s="302">
        <v>43300</v>
      </c>
      <c r="CU38" s="302">
        <v>43300</v>
      </c>
      <c r="CV38" s="302">
        <v>43300</v>
      </c>
      <c r="CW38" s="302">
        <v>43300</v>
      </c>
      <c r="CX38" s="302">
        <v>45427</v>
      </c>
      <c r="CY38" s="302">
        <v>46013</v>
      </c>
      <c r="CZ38" s="302">
        <v>43300</v>
      </c>
      <c r="DA38" s="302">
        <v>42747</v>
      </c>
      <c r="DB38" s="302">
        <v>43300</v>
      </c>
      <c r="DC38" s="302">
        <v>43300</v>
      </c>
      <c r="DD38" s="302">
        <v>44087</v>
      </c>
      <c r="DE38" s="302">
        <v>43300</v>
      </c>
      <c r="DF38" s="302">
        <v>42873</v>
      </c>
      <c r="DG38" s="302">
        <v>43300</v>
      </c>
      <c r="DH38" s="302">
        <v>43300</v>
      </c>
      <c r="DI38" s="302">
        <v>43300</v>
      </c>
      <c r="DJ38" s="302">
        <v>42600</v>
      </c>
      <c r="DK38" s="302">
        <v>42600</v>
      </c>
      <c r="DL38" s="302">
        <v>43300</v>
      </c>
      <c r="DM38" s="302">
        <v>43543</v>
      </c>
      <c r="DN38" s="302">
        <v>42600</v>
      </c>
      <c r="DO38" s="302">
        <v>43300</v>
      </c>
      <c r="DP38" s="302">
        <v>42600</v>
      </c>
      <c r="DQ38" s="302">
        <v>42915</v>
      </c>
      <c r="DR38" s="302">
        <v>43961</v>
      </c>
      <c r="DS38" s="302">
        <v>43300</v>
      </c>
      <c r="DT38" s="302">
        <v>43300</v>
      </c>
      <c r="DU38" s="302">
        <v>42600</v>
      </c>
      <c r="DV38" s="302">
        <v>43300</v>
      </c>
      <c r="DW38" s="302">
        <v>42370</v>
      </c>
      <c r="DX38" s="302">
        <v>43300</v>
      </c>
      <c r="DY38" s="302">
        <v>43300</v>
      </c>
      <c r="DZ38" s="302">
        <v>42998</v>
      </c>
      <c r="EA38" s="302">
        <v>42600</v>
      </c>
      <c r="EB38" s="302">
        <v>42600</v>
      </c>
      <c r="EC38" s="302">
        <v>43300</v>
      </c>
      <c r="ED38" s="302">
        <v>44631</v>
      </c>
      <c r="EE38" s="302">
        <v>42600</v>
      </c>
      <c r="EF38" s="302">
        <v>45245</v>
      </c>
      <c r="EG38" s="302">
        <v>42496</v>
      </c>
      <c r="EH38" s="302">
        <v>43300</v>
      </c>
      <c r="EI38" s="302">
        <v>42772</v>
      </c>
      <c r="EJ38" s="302">
        <v>43300</v>
      </c>
      <c r="EK38" s="302">
        <v>43300</v>
      </c>
      <c r="EL38" s="302">
        <v>43300</v>
      </c>
      <c r="EM38" s="302">
        <v>43300</v>
      </c>
      <c r="EN38" s="31"/>
    </row>
    <row r="39" spans="2:256">
      <c r="B39" s="13">
        <v>2</v>
      </c>
      <c r="C39" s="13" t="s">
        <v>16</v>
      </c>
      <c r="D39" s="291">
        <v>44600</v>
      </c>
      <c r="E39" s="302">
        <v>44000</v>
      </c>
      <c r="F39" s="302">
        <v>44000</v>
      </c>
      <c r="G39" s="302">
        <v>44800</v>
      </c>
      <c r="H39" s="302">
        <v>44000</v>
      </c>
      <c r="I39" s="302">
        <v>44000</v>
      </c>
      <c r="J39" s="302">
        <v>44000</v>
      </c>
      <c r="K39" s="302">
        <v>44000</v>
      </c>
      <c r="L39" s="302">
        <v>44000</v>
      </c>
      <c r="M39" s="302">
        <v>44000</v>
      </c>
      <c r="N39" s="302">
        <v>44000</v>
      </c>
      <c r="O39" s="302">
        <v>44000</v>
      </c>
      <c r="P39" s="302">
        <v>44000</v>
      </c>
      <c r="Q39" s="302">
        <v>44000</v>
      </c>
      <c r="R39" s="302">
        <v>44600</v>
      </c>
      <c r="S39" s="302">
        <v>44600</v>
      </c>
      <c r="T39" s="302">
        <v>44000</v>
      </c>
      <c r="U39" s="302">
        <v>44800</v>
      </c>
      <c r="V39" s="302">
        <v>44000</v>
      </c>
      <c r="W39" s="302">
        <v>44600</v>
      </c>
      <c r="X39" s="302">
        <v>44000</v>
      </c>
      <c r="Y39" s="302">
        <v>44000</v>
      </c>
      <c r="Z39" s="302">
        <v>44000</v>
      </c>
      <c r="AA39" s="302">
        <v>44000</v>
      </c>
      <c r="AB39" s="302">
        <v>44000</v>
      </c>
      <c r="AC39" s="302">
        <v>44000</v>
      </c>
      <c r="AD39" s="302">
        <v>44000</v>
      </c>
      <c r="AE39" s="302">
        <v>44000</v>
      </c>
      <c r="AF39" s="302">
        <v>44000</v>
      </c>
      <c r="AG39" s="302">
        <v>44800</v>
      </c>
      <c r="AH39" s="302">
        <v>44000</v>
      </c>
      <c r="AI39" s="302">
        <v>44800</v>
      </c>
      <c r="AJ39" s="302">
        <v>44800</v>
      </c>
      <c r="AK39" s="302">
        <v>43543</v>
      </c>
      <c r="AL39" s="302">
        <v>44000</v>
      </c>
      <c r="AM39" s="302">
        <v>44000</v>
      </c>
      <c r="AN39" s="302">
        <v>44800</v>
      </c>
      <c r="AO39" s="302">
        <v>44800</v>
      </c>
      <c r="AP39" s="302">
        <v>44000</v>
      </c>
      <c r="AQ39" s="302">
        <v>44800</v>
      </c>
      <c r="AR39" s="302">
        <v>44800</v>
      </c>
      <c r="AS39" s="302">
        <v>44000</v>
      </c>
      <c r="AT39" s="302">
        <v>44800</v>
      </c>
      <c r="AU39" s="302">
        <v>44589</v>
      </c>
      <c r="AV39" s="302">
        <v>44800</v>
      </c>
      <c r="AW39" s="302">
        <v>44000</v>
      </c>
      <c r="AX39" s="302">
        <v>44800</v>
      </c>
      <c r="AY39" s="302">
        <v>44800</v>
      </c>
      <c r="AZ39" s="302">
        <v>44800</v>
      </c>
      <c r="BA39" s="302">
        <v>43124</v>
      </c>
      <c r="BB39" s="302">
        <v>44800</v>
      </c>
      <c r="BC39" s="302">
        <v>43570</v>
      </c>
      <c r="BD39" s="302">
        <v>44800</v>
      </c>
      <c r="BE39" s="302">
        <v>44800</v>
      </c>
      <c r="BF39" s="302">
        <v>44800</v>
      </c>
      <c r="BG39" s="302">
        <v>44800</v>
      </c>
      <c r="BH39" s="302">
        <v>44000</v>
      </c>
      <c r="BI39" s="302">
        <v>44800</v>
      </c>
      <c r="BJ39" s="302">
        <v>44000</v>
      </c>
      <c r="BK39" s="302">
        <v>44800</v>
      </c>
      <c r="BL39" s="302">
        <v>44800</v>
      </c>
      <c r="BM39" s="302">
        <v>44800</v>
      </c>
      <c r="BN39" s="302">
        <v>44800</v>
      </c>
      <c r="BO39" s="302">
        <v>44800</v>
      </c>
      <c r="BP39" s="302">
        <v>44000</v>
      </c>
      <c r="BQ39" s="302">
        <v>44800</v>
      </c>
      <c r="BR39" s="302">
        <v>44800</v>
      </c>
      <c r="BS39" s="302">
        <v>44000</v>
      </c>
      <c r="BT39" s="302">
        <v>44800</v>
      </c>
      <c r="BU39" s="302">
        <v>44000</v>
      </c>
      <c r="BV39" s="302">
        <v>44800</v>
      </c>
      <c r="BW39" s="302">
        <v>44800</v>
      </c>
      <c r="BX39" s="302">
        <v>44800</v>
      </c>
      <c r="BY39" s="302">
        <v>44800</v>
      </c>
      <c r="BZ39" s="302">
        <v>44800</v>
      </c>
      <c r="CA39" s="302">
        <v>44800</v>
      </c>
      <c r="CB39" s="302">
        <v>44800</v>
      </c>
      <c r="CC39" s="302">
        <v>44800</v>
      </c>
      <c r="CD39" s="302">
        <v>44800</v>
      </c>
      <c r="CE39" s="302">
        <v>44800</v>
      </c>
      <c r="CF39" s="302">
        <v>43543</v>
      </c>
      <c r="CG39" s="302">
        <v>44000</v>
      </c>
      <c r="CH39" s="302">
        <v>44800</v>
      </c>
      <c r="CI39" s="302">
        <v>44800</v>
      </c>
      <c r="CJ39" s="302">
        <v>44800</v>
      </c>
      <c r="CK39" s="302">
        <v>44000</v>
      </c>
      <c r="CL39" s="302">
        <v>44000</v>
      </c>
      <c r="CM39" s="302">
        <v>44800</v>
      </c>
      <c r="CN39" s="302">
        <v>44800</v>
      </c>
      <c r="CO39" s="302">
        <v>44000</v>
      </c>
      <c r="CP39" s="302">
        <v>44000</v>
      </c>
      <c r="CQ39" s="302">
        <v>43991</v>
      </c>
      <c r="CR39" s="302">
        <v>44000</v>
      </c>
      <c r="CS39" s="302">
        <v>44000</v>
      </c>
      <c r="CT39" s="302">
        <v>44800</v>
      </c>
      <c r="CU39" s="302">
        <v>44800</v>
      </c>
      <c r="CV39" s="302">
        <v>44800</v>
      </c>
      <c r="CW39" s="302">
        <v>44800</v>
      </c>
      <c r="CX39" s="302">
        <v>46892</v>
      </c>
      <c r="CY39" s="302">
        <v>47185</v>
      </c>
      <c r="CZ39" s="302">
        <v>44800</v>
      </c>
      <c r="DA39" s="302">
        <v>44129</v>
      </c>
      <c r="DB39" s="302">
        <v>44800</v>
      </c>
      <c r="DC39" s="302">
        <v>44800</v>
      </c>
      <c r="DD39" s="302">
        <v>44800</v>
      </c>
      <c r="DE39" s="302">
        <v>44800</v>
      </c>
      <c r="DF39" s="302">
        <v>44800</v>
      </c>
      <c r="DG39" s="302">
        <v>44800</v>
      </c>
      <c r="DH39" s="302">
        <v>44800</v>
      </c>
      <c r="DI39" s="302">
        <v>44800</v>
      </c>
      <c r="DJ39" s="302">
        <v>44000</v>
      </c>
      <c r="DK39" s="302">
        <v>44000</v>
      </c>
      <c r="DL39" s="302">
        <v>44800</v>
      </c>
      <c r="DM39" s="302">
        <v>44800</v>
      </c>
      <c r="DN39" s="302">
        <v>44000</v>
      </c>
      <c r="DO39" s="302">
        <v>44800</v>
      </c>
      <c r="DP39" s="302">
        <v>44000</v>
      </c>
      <c r="DQ39" s="302">
        <v>44045</v>
      </c>
      <c r="DR39" s="302">
        <v>45636</v>
      </c>
      <c r="DS39" s="302">
        <v>44800</v>
      </c>
      <c r="DT39" s="302">
        <v>44800</v>
      </c>
      <c r="DU39" s="302">
        <v>44000</v>
      </c>
      <c r="DV39" s="302">
        <v>44800</v>
      </c>
      <c r="DW39" s="302">
        <v>43124</v>
      </c>
      <c r="DX39" s="302">
        <v>44800</v>
      </c>
      <c r="DY39" s="302">
        <v>44800</v>
      </c>
      <c r="DZ39" s="302">
        <v>43878</v>
      </c>
      <c r="EA39" s="302">
        <v>44000</v>
      </c>
      <c r="EB39" s="302">
        <v>44000</v>
      </c>
      <c r="EC39" s="302">
        <v>44800</v>
      </c>
      <c r="ED39" s="302">
        <v>44236</v>
      </c>
      <c r="EE39" s="302">
        <v>44000</v>
      </c>
      <c r="EF39" s="302">
        <v>46942</v>
      </c>
      <c r="EG39" s="302">
        <v>43961</v>
      </c>
      <c r="EH39" s="302">
        <v>44800</v>
      </c>
      <c r="EI39" s="302">
        <v>43002</v>
      </c>
      <c r="EJ39" s="302">
        <v>44800</v>
      </c>
      <c r="EK39" s="302">
        <v>44800</v>
      </c>
      <c r="EL39" s="302">
        <v>44800</v>
      </c>
      <c r="EM39" s="302">
        <v>44800</v>
      </c>
      <c r="EN39" s="31"/>
    </row>
    <row r="40" spans="2:256">
      <c r="B40" s="13">
        <v>3</v>
      </c>
      <c r="C40" s="13" t="s">
        <v>17</v>
      </c>
      <c r="D40" s="291">
        <v>36800</v>
      </c>
      <c r="E40" s="302">
        <v>36600</v>
      </c>
      <c r="F40" s="302" t="s">
        <v>8</v>
      </c>
      <c r="G40" s="302" t="s">
        <v>8</v>
      </c>
      <c r="H40" s="302">
        <v>37100</v>
      </c>
      <c r="I40" s="302">
        <v>37600</v>
      </c>
      <c r="J40" s="302">
        <v>36800</v>
      </c>
      <c r="K40" s="302">
        <v>37867</v>
      </c>
      <c r="L40" s="302">
        <v>37320</v>
      </c>
      <c r="M40" s="302">
        <v>36800</v>
      </c>
      <c r="N40" s="302">
        <v>36800</v>
      </c>
      <c r="O40" s="302">
        <v>37273</v>
      </c>
      <c r="P40" s="302">
        <v>37273</v>
      </c>
      <c r="Q40" s="302">
        <v>37400</v>
      </c>
      <c r="R40" s="302">
        <v>36800</v>
      </c>
      <c r="S40" s="302">
        <v>38210</v>
      </c>
      <c r="T40" s="302">
        <v>36800</v>
      </c>
      <c r="U40" s="302">
        <v>36800</v>
      </c>
      <c r="V40" s="302">
        <v>38000</v>
      </c>
      <c r="W40" s="302">
        <v>36800</v>
      </c>
      <c r="X40" s="302">
        <v>36800</v>
      </c>
      <c r="Y40" s="302">
        <v>36800</v>
      </c>
      <c r="Z40" s="302">
        <v>37000</v>
      </c>
      <c r="AA40" s="302">
        <v>41255</v>
      </c>
      <c r="AB40" s="302">
        <v>37681</v>
      </c>
      <c r="AC40" s="302">
        <v>33404</v>
      </c>
      <c r="AD40" s="302">
        <v>32040</v>
      </c>
      <c r="AE40" s="302">
        <v>37046</v>
      </c>
      <c r="AF40" s="302">
        <v>36800</v>
      </c>
      <c r="AG40" s="302">
        <v>40933</v>
      </c>
      <c r="AH40" s="302">
        <v>36800</v>
      </c>
      <c r="AI40" s="302">
        <v>36800</v>
      </c>
      <c r="AJ40" s="302">
        <v>36800</v>
      </c>
      <c r="AK40" s="302">
        <v>36800</v>
      </c>
      <c r="AL40" s="302">
        <v>36800</v>
      </c>
      <c r="AM40" s="302">
        <v>36800</v>
      </c>
      <c r="AN40" s="302">
        <v>36800</v>
      </c>
      <c r="AO40" s="302">
        <v>36800</v>
      </c>
      <c r="AP40" s="302">
        <v>36800</v>
      </c>
      <c r="AQ40" s="302">
        <v>36800</v>
      </c>
      <c r="AR40" s="302">
        <v>36800</v>
      </c>
      <c r="AS40" s="302">
        <v>36800</v>
      </c>
      <c r="AT40" s="302">
        <v>36800</v>
      </c>
      <c r="AU40" s="302">
        <v>42789</v>
      </c>
      <c r="AV40" s="302">
        <v>36800</v>
      </c>
      <c r="AW40" s="302">
        <v>36800</v>
      </c>
      <c r="AX40" s="302">
        <v>36800</v>
      </c>
      <c r="AY40" s="302">
        <v>36800</v>
      </c>
      <c r="AZ40" s="302">
        <v>36800</v>
      </c>
      <c r="BA40" s="302">
        <v>36800</v>
      </c>
      <c r="BB40" s="302">
        <v>36800</v>
      </c>
      <c r="BC40" s="302">
        <v>36800</v>
      </c>
      <c r="BD40" s="302">
        <v>36800</v>
      </c>
      <c r="BE40" s="302">
        <v>36800</v>
      </c>
      <c r="BF40" s="302">
        <v>36800</v>
      </c>
      <c r="BG40" s="302">
        <v>36800</v>
      </c>
      <c r="BH40" s="302">
        <v>36800</v>
      </c>
      <c r="BI40" s="302">
        <v>36800</v>
      </c>
      <c r="BJ40" s="302">
        <v>36800</v>
      </c>
      <c r="BK40" s="302">
        <v>36800</v>
      </c>
      <c r="BL40" s="302">
        <v>36800</v>
      </c>
      <c r="BM40" s="302">
        <v>36800</v>
      </c>
      <c r="BN40" s="302">
        <v>36800</v>
      </c>
      <c r="BO40" s="302">
        <v>36800</v>
      </c>
      <c r="BP40" s="302">
        <v>36800</v>
      </c>
      <c r="BQ40" s="302">
        <v>36800</v>
      </c>
      <c r="BR40" s="302">
        <v>36800</v>
      </c>
      <c r="BS40" s="302">
        <v>36800</v>
      </c>
      <c r="BT40" s="302">
        <v>36800</v>
      </c>
      <c r="BU40" s="302">
        <v>36800</v>
      </c>
      <c r="BV40" s="302">
        <v>36800</v>
      </c>
      <c r="BW40" s="302">
        <v>36800</v>
      </c>
      <c r="BX40" s="302">
        <v>36800</v>
      </c>
      <c r="BY40" s="302">
        <v>36800</v>
      </c>
      <c r="BZ40" s="302">
        <v>36800</v>
      </c>
      <c r="CA40" s="302">
        <v>36800</v>
      </c>
      <c r="CB40" s="302">
        <v>36800</v>
      </c>
      <c r="CC40" s="302">
        <v>36800</v>
      </c>
      <c r="CD40" s="302">
        <v>36800</v>
      </c>
      <c r="CE40" s="302">
        <v>36800</v>
      </c>
      <c r="CF40" s="302">
        <v>36800</v>
      </c>
      <c r="CG40" s="302">
        <v>36800</v>
      </c>
      <c r="CH40" s="302">
        <v>36800</v>
      </c>
      <c r="CI40" s="302">
        <v>36800</v>
      </c>
      <c r="CJ40" s="302">
        <v>36800</v>
      </c>
      <c r="CK40" s="302">
        <v>36800</v>
      </c>
      <c r="CL40" s="302">
        <v>36800</v>
      </c>
      <c r="CM40" s="302">
        <v>36800</v>
      </c>
      <c r="CN40" s="302">
        <v>36800</v>
      </c>
      <c r="CO40" s="302">
        <v>36800</v>
      </c>
      <c r="CP40" s="302">
        <v>36800</v>
      </c>
      <c r="CQ40" s="302">
        <v>36800</v>
      </c>
      <c r="CR40" s="302">
        <v>36800</v>
      </c>
      <c r="CS40" s="302">
        <v>36800</v>
      </c>
      <c r="CT40" s="302">
        <v>36800</v>
      </c>
      <c r="CU40" s="302">
        <v>36800</v>
      </c>
      <c r="CV40" s="302">
        <v>36800</v>
      </c>
      <c r="CW40" s="302">
        <v>36800</v>
      </c>
      <c r="CX40" s="302">
        <v>36800</v>
      </c>
      <c r="CY40" s="302">
        <v>36800</v>
      </c>
      <c r="CZ40" s="302">
        <v>36800</v>
      </c>
      <c r="DA40" s="302">
        <v>36800</v>
      </c>
      <c r="DB40" s="302">
        <v>36800</v>
      </c>
      <c r="DC40" s="302">
        <v>36800</v>
      </c>
      <c r="DD40" s="302">
        <v>36800</v>
      </c>
      <c r="DE40" s="302">
        <v>36800</v>
      </c>
      <c r="DF40" s="302">
        <v>36800</v>
      </c>
      <c r="DG40" s="302">
        <v>36800</v>
      </c>
      <c r="DH40" s="302">
        <v>36800</v>
      </c>
      <c r="DI40" s="302">
        <v>36800</v>
      </c>
      <c r="DJ40" s="302">
        <v>36800</v>
      </c>
      <c r="DK40" s="302">
        <v>36800</v>
      </c>
      <c r="DL40" s="302">
        <v>36800</v>
      </c>
      <c r="DM40" s="302">
        <v>36800</v>
      </c>
      <c r="DN40" s="302">
        <v>36800</v>
      </c>
      <c r="DO40" s="302">
        <v>36800</v>
      </c>
      <c r="DP40" s="302">
        <v>36800</v>
      </c>
      <c r="DQ40" s="302">
        <v>36800</v>
      </c>
      <c r="DR40" s="302">
        <v>36800</v>
      </c>
      <c r="DS40" s="302">
        <v>36800</v>
      </c>
      <c r="DT40" s="302">
        <v>36800</v>
      </c>
      <c r="DU40" s="302">
        <v>36800</v>
      </c>
      <c r="DV40" s="302">
        <v>36800</v>
      </c>
      <c r="DW40" s="302">
        <v>36800</v>
      </c>
      <c r="DX40" s="302">
        <v>36800</v>
      </c>
      <c r="DY40" s="302">
        <v>36800</v>
      </c>
      <c r="DZ40" s="302">
        <v>36800</v>
      </c>
      <c r="EA40" s="302">
        <v>36800</v>
      </c>
      <c r="EB40" s="302">
        <v>36800</v>
      </c>
      <c r="EC40" s="302">
        <v>36800</v>
      </c>
      <c r="ED40" s="302">
        <v>36800</v>
      </c>
      <c r="EE40" s="302">
        <v>36800</v>
      </c>
      <c r="EF40" s="302">
        <v>36800</v>
      </c>
      <c r="EG40" s="302">
        <v>36800</v>
      </c>
      <c r="EH40" s="302">
        <v>36800</v>
      </c>
      <c r="EI40" s="302">
        <v>36800</v>
      </c>
      <c r="EJ40" s="302">
        <v>36800</v>
      </c>
      <c r="EK40" s="302">
        <v>36800</v>
      </c>
      <c r="EL40" s="302">
        <v>36800</v>
      </c>
      <c r="EM40" s="302">
        <v>36800</v>
      </c>
    </row>
    <row r="41" spans="2:256">
      <c r="B41" s="13">
        <v>4</v>
      </c>
      <c r="C41" s="31" t="s">
        <v>19</v>
      </c>
      <c r="D41" s="291">
        <v>45410</v>
      </c>
      <c r="E41" s="302">
        <v>42500</v>
      </c>
      <c r="F41" s="302" t="s">
        <v>8</v>
      </c>
      <c r="G41" s="302">
        <v>45220</v>
      </c>
      <c r="H41" s="302" t="s">
        <v>8</v>
      </c>
      <c r="I41" s="302" t="s">
        <v>8</v>
      </c>
      <c r="J41" s="302">
        <v>45217</v>
      </c>
      <c r="K41" s="302">
        <v>42000</v>
      </c>
      <c r="L41" s="302" t="s">
        <v>8</v>
      </c>
      <c r="M41" s="302">
        <v>41555</v>
      </c>
      <c r="N41" s="302">
        <v>44000</v>
      </c>
      <c r="O41" s="302" t="s">
        <v>8</v>
      </c>
      <c r="P41" s="302" t="s">
        <v>8</v>
      </c>
      <c r="Q41" s="302" t="s">
        <v>8</v>
      </c>
      <c r="R41" s="302">
        <v>46513</v>
      </c>
      <c r="S41" s="302" t="s">
        <v>8</v>
      </c>
      <c r="T41" s="302" t="s">
        <v>8</v>
      </c>
      <c r="U41" s="302">
        <v>42661</v>
      </c>
      <c r="V41" s="302">
        <v>44000</v>
      </c>
      <c r="W41" s="302">
        <v>45550</v>
      </c>
      <c r="X41" s="302">
        <v>43795</v>
      </c>
      <c r="Y41" s="302" t="s">
        <v>8</v>
      </c>
      <c r="Z41" s="302" t="s">
        <v>8</v>
      </c>
      <c r="AA41" s="302">
        <v>44000</v>
      </c>
      <c r="AB41" s="302" t="s">
        <v>8</v>
      </c>
      <c r="AC41" s="302" t="s">
        <v>8</v>
      </c>
      <c r="AD41" s="302" t="s">
        <v>8</v>
      </c>
      <c r="AE41" s="302" t="s">
        <v>8</v>
      </c>
      <c r="AF41" s="302">
        <v>47063</v>
      </c>
      <c r="AG41" s="302">
        <v>46478</v>
      </c>
      <c r="AH41" s="302">
        <v>45176</v>
      </c>
      <c r="AI41" s="302">
        <v>46725</v>
      </c>
      <c r="AJ41" s="302">
        <v>41868</v>
      </c>
      <c r="AK41" s="302">
        <v>42496</v>
      </c>
      <c r="AL41" s="302">
        <v>41910</v>
      </c>
      <c r="AM41" s="302">
        <v>41910</v>
      </c>
      <c r="AN41" s="302">
        <v>42705</v>
      </c>
      <c r="AO41" s="302">
        <v>42705</v>
      </c>
      <c r="AP41" s="302">
        <v>41910</v>
      </c>
      <c r="AQ41" s="302">
        <v>41868</v>
      </c>
      <c r="AR41" s="302">
        <v>43333</v>
      </c>
      <c r="AS41" s="302">
        <v>45217</v>
      </c>
      <c r="AT41" s="302">
        <v>41868</v>
      </c>
      <c r="AU41" s="302">
        <v>45217</v>
      </c>
      <c r="AV41" s="302">
        <v>42747</v>
      </c>
      <c r="AW41" s="302">
        <v>45176</v>
      </c>
      <c r="AX41" s="302">
        <v>42705</v>
      </c>
      <c r="AY41" s="302">
        <v>41868</v>
      </c>
      <c r="AZ41" s="302">
        <v>42873</v>
      </c>
      <c r="BA41" s="302">
        <v>42705</v>
      </c>
      <c r="BB41" s="302">
        <v>42705</v>
      </c>
      <c r="BC41" s="302">
        <v>41868</v>
      </c>
      <c r="BD41" s="302">
        <v>45217</v>
      </c>
      <c r="BE41" s="302">
        <v>42705</v>
      </c>
      <c r="BF41" s="302">
        <v>42705</v>
      </c>
      <c r="BG41" s="302">
        <v>42622</v>
      </c>
      <c r="BH41" s="302">
        <v>46641</v>
      </c>
      <c r="BI41" s="302">
        <v>41701</v>
      </c>
      <c r="BJ41" s="302">
        <v>42705</v>
      </c>
      <c r="BK41" s="302">
        <v>42705</v>
      </c>
      <c r="BL41" s="302">
        <v>42454</v>
      </c>
      <c r="BM41" s="302">
        <v>42538</v>
      </c>
      <c r="BN41" s="302">
        <v>42705</v>
      </c>
      <c r="BO41" s="302">
        <v>41868</v>
      </c>
      <c r="BP41" s="302">
        <v>41910</v>
      </c>
      <c r="BQ41" s="302">
        <v>41868</v>
      </c>
      <c r="BR41" s="302">
        <v>42475</v>
      </c>
      <c r="BS41" s="302">
        <v>41910</v>
      </c>
      <c r="BT41" s="302">
        <v>41868</v>
      </c>
      <c r="BU41" s="302">
        <v>42705</v>
      </c>
      <c r="BV41" s="302">
        <v>41868</v>
      </c>
      <c r="BW41" s="302">
        <v>42705</v>
      </c>
      <c r="BX41" s="302">
        <v>42705</v>
      </c>
      <c r="BY41" s="302">
        <v>42705</v>
      </c>
      <c r="BZ41" s="302">
        <v>42998</v>
      </c>
      <c r="CA41" s="302">
        <v>42768</v>
      </c>
      <c r="CB41" s="302">
        <v>42538</v>
      </c>
      <c r="CC41" s="302">
        <v>42831</v>
      </c>
      <c r="CD41" s="302">
        <v>42496</v>
      </c>
      <c r="CE41" s="302">
        <v>42705</v>
      </c>
      <c r="CF41" s="302">
        <v>42705</v>
      </c>
      <c r="CG41" s="302">
        <v>41910</v>
      </c>
      <c r="CH41" s="302">
        <v>42705</v>
      </c>
      <c r="CI41" s="302">
        <v>42705</v>
      </c>
      <c r="CJ41" s="302">
        <v>42622</v>
      </c>
      <c r="CK41" s="302">
        <v>41910</v>
      </c>
      <c r="CL41" s="302">
        <v>41910</v>
      </c>
      <c r="CM41" s="302">
        <v>42705</v>
      </c>
      <c r="CN41" s="302">
        <v>42998</v>
      </c>
      <c r="CO41" s="302">
        <v>41910</v>
      </c>
      <c r="CP41" s="302">
        <v>45217</v>
      </c>
      <c r="CQ41" s="302">
        <v>44343</v>
      </c>
      <c r="CR41" s="302">
        <v>42705</v>
      </c>
      <c r="CS41" s="302">
        <v>41910</v>
      </c>
      <c r="CT41" s="302">
        <v>42705</v>
      </c>
      <c r="CU41" s="302">
        <v>42998</v>
      </c>
      <c r="CV41" s="302">
        <v>42705</v>
      </c>
      <c r="CW41" s="302">
        <v>42705</v>
      </c>
      <c r="CX41" s="302">
        <v>42705</v>
      </c>
      <c r="CY41" s="302">
        <v>42538</v>
      </c>
      <c r="CZ41" s="302">
        <v>42705</v>
      </c>
      <c r="DA41" s="302">
        <v>42705</v>
      </c>
      <c r="DB41" s="302">
        <v>42747</v>
      </c>
      <c r="DC41" s="302">
        <v>42705</v>
      </c>
      <c r="DD41" s="302">
        <v>42873</v>
      </c>
      <c r="DE41" s="302">
        <v>42705</v>
      </c>
      <c r="DF41" s="302">
        <v>42538</v>
      </c>
      <c r="DG41" s="302">
        <v>42747</v>
      </c>
      <c r="DH41" s="302">
        <v>41868</v>
      </c>
      <c r="DI41" s="302">
        <v>42998</v>
      </c>
      <c r="DJ41" s="302">
        <v>45176</v>
      </c>
      <c r="DK41" s="302">
        <v>41910</v>
      </c>
      <c r="DL41" s="302">
        <v>44924</v>
      </c>
      <c r="DM41" s="302">
        <v>42622</v>
      </c>
      <c r="DN41" s="302">
        <v>45217</v>
      </c>
      <c r="DO41" s="302">
        <v>42705</v>
      </c>
      <c r="DP41" s="302">
        <v>45217</v>
      </c>
      <c r="DQ41" s="302">
        <v>42743</v>
      </c>
      <c r="DR41" s="302">
        <v>42705</v>
      </c>
      <c r="DS41" s="302">
        <v>41868</v>
      </c>
      <c r="DT41" s="302">
        <v>42035</v>
      </c>
      <c r="DU41" s="302">
        <v>41910</v>
      </c>
      <c r="DV41" s="302">
        <v>41868</v>
      </c>
      <c r="DW41" s="302">
        <v>46850</v>
      </c>
      <c r="DX41" s="302">
        <v>42622</v>
      </c>
      <c r="DY41" s="302">
        <v>41868</v>
      </c>
      <c r="DZ41" s="302">
        <v>43124</v>
      </c>
      <c r="EA41" s="302">
        <v>41910</v>
      </c>
      <c r="EB41" s="302">
        <v>41910</v>
      </c>
      <c r="EC41" s="302">
        <v>42622</v>
      </c>
      <c r="ED41" s="302">
        <v>42705</v>
      </c>
      <c r="EE41" s="302">
        <v>41910</v>
      </c>
      <c r="EF41" s="302">
        <v>41994</v>
      </c>
      <c r="EG41" s="302">
        <v>42705</v>
      </c>
      <c r="EH41" s="302">
        <v>42538</v>
      </c>
      <c r="EI41" s="302">
        <v>42705</v>
      </c>
      <c r="EJ41" s="302">
        <v>42705</v>
      </c>
      <c r="EK41" s="302">
        <v>42705</v>
      </c>
      <c r="EL41" s="302">
        <v>42705</v>
      </c>
      <c r="EM41" s="302">
        <v>42705</v>
      </c>
      <c r="EN41" s="303"/>
    </row>
    <row r="42" spans="2:256">
      <c r="B42" s="13">
        <v>5</v>
      </c>
      <c r="C42" s="31" t="s">
        <v>20</v>
      </c>
      <c r="D42" s="291" t="s">
        <v>8</v>
      </c>
      <c r="E42" s="302">
        <v>36600</v>
      </c>
      <c r="F42" s="302">
        <v>37000</v>
      </c>
      <c r="G42" s="302" t="s">
        <v>8</v>
      </c>
      <c r="H42" s="302" t="s">
        <v>8</v>
      </c>
      <c r="I42" s="302" t="s">
        <v>8</v>
      </c>
      <c r="J42" s="302" t="s">
        <v>8</v>
      </c>
      <c r="K42" s="302" t="s">
        <v>8</v>
      </c>
      <c r="L42" s="302">
        <v>37100</v>
      </c>
      <c r="M42" s="302" t="s">
        <v>8</v>
      </c>
      <c r="N42" s="302" t="s">
        <v>8</v>
      </c>
      <c r="O42" s="302" t="s">
        <v>8</v>
      </c>
      <c r="P42" s="302">
        <v>36364</v>
      </c>
      <c r="Q42" s="302" t="s">
        <v>8</v>
      </c>
      <c r="R42" s="302" t="s">
        <v>8</v>
      </c>
      <c r="S42" s="302" t="s">
        <v>8</v>
      </c>
      <c r="T42" s="302" t="s">
        <v>8</v>
      </c>
      <c r="U42" s="302" t="s">
        <v>8</v>
      </c>
      <c r="V42" s="302">
        <v>36759</v>
      </c>
      <c r="W42" s="302" t="s">
        <v>8</v>
      </c>
      <c r="X42" s="302" t="s">
        <v>8</v>
      </c>
      <c r="Y42" s="302" t="s">
        <v>8</v>
      </c>
      <c r="Z42" s="302" t="s">
        <v>8</v>
      </c>
      <c r="AA42" s="302" t="s">
        <v>8</v>
      </c>
      <c r="AB42" s="302" t="s">
        <v>8</v>
      </c>
      <c r="AC42" s="302">
        <v>33404</v>
      </c>
      <c r="AD42" s="302" t="s">
        <v>8</v>
      </c>
      <c r="AE42" s="302" t="s">
        <v>8</v>
      </c>
      <c r="AF42" s="302" t="s">
        <v>8</v>
      </c>
      <c r="AG42" s="302">
        <v>21583</v>
      </c>
      <c r="AH42" s="302">
        <v>36800</v>
      </c>
      <c r="AI42" s="302">
        <v>36800</v>
      </c>
      <c r="AJ42" s="302">
        <v>36800</v>
      </c>
      <c r="AK42" s="302">
        <v>36800</v>
      </c>
      <c r="AL42" s="302">
        <v>36800</v>
      </c>
      <c r="AM42" s="302">
        <v>36800</v>
      </c>
      <c r="AN42" s="302">
        <v>36800</v>
      </c>
      <c r="AO42" s="302">
        <v>36800</v>
      </c>
      <c r="AP42" s="302">
        <v>36800</v>
      </c>
      <c r="AQ42" s="302">
        <v>36800</v>
      </c>
      <c r="AR42" s="302">
        <v>36800</v>
      </c>
      <c r="AS42" s="302">
        <v>36800</v>
      </c>
      <c r="AT42" s="302">
        <v>36800</v>
      </c>
      <c r="AU42" s="302">
        <v>27214</v>
      </c>
      <c r="AV42" s="302">
        <v>36800</v>
      </c>
      <c r="AW42" s="302">
        <v>36800</v>
      </c>
      <c r="AX42" s="302">
        <v>36800</v>
      </c>
      <c r="AY42" s="302">
        <v>36800</v>
      </c>
      <c r="AZ42" s="302">
        <v>36800</v>
      </c>
      <c r="BA42" s="302">
        <v>36800</v>
      </c>
      <c r="BB42" s="302">
        <v>36800</v>
      </c>
      <c r="BC42" s="302">
        <v>36800</v>
      </c>
      <c r="BD42" s="302">
        <v>36800</v>
      </c>
      <c r="BE42" s="302">
        <v>36800</v>
      </c>
      <c r="BF42" s="302">
        <v>36800</v>
      </c>
      <c r="BG42" s="302">
        <v>36800</v>
      </c>
      <c r="BH42" s="302">
        <v>36800</v>
      </c>
      <c r="BI42" s="302">
        <v>36800</v>
      </c>
      <c r="BJ42" s="302">
        <v>36800</v>
      </c>
      <c r="BK42" s="302">
        <v>36800</v>
      </c>
      <c r="BL42" s="302">
        <v>36800</v>
      </c>
      <c r="BM42" s="302">
        <v>36800</v>
      </c>
      <c r="BN42" s="302">
        <v>36800</v>
      </c>
      <c r="BO42" s="302">
        <v>36800</v>
      </c>
      <c r="BP42" s="302">
        <v>36800</v>
      </c>
      <c r="BQ42" s="302">
        <v>36800</v>
      </c>
      <c r="BR42" s="302">
        <v>36800</v>
      </c>
      <c r="BS42" s="302">
        <v>36800</v>
      </c>
      <c r="BT42" s="302">
        <v>36800</v>
      </c>
      <c r="BU42" s="302">
        <v>36800</v>
      </c>
      <c r="BV42" s="302">
        <v>36800</v>
      </c>
      <c r="BW42" s="302">
        <v>36800</v>
      </c>
      <c r="BX42" s="302">
        <v>36800</v>
      </c>
      <c r="BY42" s="302">
        <v>36800</v>
      </c>
      <c r="BZ42" s="302">
        <v>36800</v>
      </c>
      <c r="CA42" s="302">
        <v>36800</v>
      </c>
      <c r="CB42" s="302">
        <v>36800</v>
      </c>
      <c r="CC42" s="302">
        <v>36800</v>
      </c>
      <c r="CD42" s="302">
        <v>36800</v>
      </c>
      <c r="CE42" s="302">
        <v>36800</v>
      </c>
      <c r="CF42" s="302">
        <v>36800</v>
      </c>
      <c r="CG42" s="302">
        <v>36800</v>
      </c>
      <c r="CH42" s="302">
        <v>36800</v>
      </c>
      <c r="CI42" s="302">
        <v>36800</v>
      </c>
      <c r="CJ42" s="302">
        <v>36800</v>
      </c>
      <c r="CK42" s="302">
        <v>36800</v>
      </c>
      <c r="CL42" s="302">
        <v>36800</v>
      </c>
      <c r="CM42" s="302">
        <v>36800</v>
      </c>
      <c r="CN42" s="302">
        <v>36800</v>
      </c>
      <c r="CO42" s="302">
        <v>36800</v>
      </c>
      <c r="CP42" s="302">
        <v>36800</v>
      </c>
      <c r="CQ42" s="302">
        <v>36800</v>
      </c>
      <c r="CR42" s="302">
        <v>36800</v>
      </c>
      <c r="CS42" s="302">
        <v>36800</v>
      </c>
      <c r="CT42" s="302">
        <v>36800</v>
      </c>
      <c r="CU42" s="302">
        <v>36800</v>
      </c>
      <c r="CV42" s="302">
        <v>36800</v>
      </c>
      <c r="CW42" s="302">
        <v>36800</v>
      </c>
      <c r="CX42" s="302">
        <v>36800</v>
      </c>
      <c r="CY42" s="302">
        <v>36800</v>
      </c>
      <c r="CZ42" s="302">
        <v>36800</v>
      </c>
      <c r="DA42" s="302">
        <v>36800</v>
      </c>
      <c r="DB42" s="302">
        <v>36800</v>
      </c>
      <c r="DC42" s="302">
        <v>36800</v>
      </c>
      <c r="DD42" s="302">
        <v>36800</v>
      </c>
      <c r="DE42" s="302">
        <v>36800</v>
      </c>
      <c r="DF42" s="302">
        <v>36800</v>
      </c>
      <c r="DG42" s="302">
        <v>36800</v>
      </c>
      <c r="DH42" s="302">
        <v>36800</v>
      </c>
      <c r="DI42" s="302">
        <v>36800</v>
      </c>
      <c r="DJ42" s="302">
        <v>36800</v>
      </c>
      <c r="DK42" s="302">
        <v>36800</v>
      </c>
      <c r="DL42" s="302">
        <v>36800</v>
      </c>
      <c r="DM42" s="302">
        <v>36800</v>
      </c>
      <c r="DN42" s="302">
        <v>36800</v>
      </c>
      <c r="DO42" s="302">
        <v>36800</v>
      </c>
      <c r="DP42" s="302">
        <v>36800</v>
      </c>
      <c r="DQ42" s="302">
        <v>36800</v>
      </c>
      <c r="DR42" s="302">
        <v>36800</v>
      </c>
      <c r="DS42" s="302">
        <v>36800</v>
      </c>
      <c r="DT42" s="302">
        <v>36800</v>
      </c>
      <c r="DU42" s="302">
        <v>36800</v>
      </c>
      <c r="DV42" s="302">
        <v>36800</v>
      </c>
      <c r="DW42" s="302">
        <v>36800</v>
      </c>
      <c r="DX42" s="302">
        <v>36800</v>
      </c>
      <c r="DY42" s="302">
        <v>36800</v>
      </c>
      <c r="DZ42" s="302">
        <v>36800</v>
      </c>
      <c r="EA42" s="302">
        <v>36800</v>
      </c>
      <c r="EB42" s="302">
        <v>36800</v>
      </c>
      <c r="EC42" s="302">
        <v>36800</v>
      </c>
      <c r="ED42" s="302">
        <v>36800</v>
      </c>
      <c r="EE42" s="302">
        <v>36800</v>
      </c>
      <c r="EF42" s="302">
        <v>36800</v>
      </c>
      <c r="EG42" s="302">
        <v>36800</v>
      </c>
      <c r="EH42" s="302">
        <v>36800</v>
      </c>
      <c r="EI42" s="302">
        <v>36800</v>
      </c>
      <c r="EJ42" s="302">
        <v>36800</v>
      </c>
      <c r="EK42" s="302">
        <v>36800</v>
      </c>
      <c r="EL42" s="302">
        <v>36800</v>
      </c>
      <c r="EM42" s="302">
        <v>36800</v>
      </c>
      <c r="EN42" s="303"/>
    </row>
    <row r="43" spans="2:256">
      <c r="B43" s="13">
        <v>6</v>
      </c>
      <c r="C43" s="31" t="s">
        <v>21</v>
      </c>
      <c r="D43" s="291">
        <v>47700</v>
      </c>
      <c r="E43" s="302">
        <v>46000</v>
      </c>
      <c r="F43" s="302">
        <v>46000</v>
      </c>
      <c r="G43" s="302">
        <v>47300</v>
      </c>
      <c r="H43" s="302">
        <v>46000</v>
      </c>
      <c r="I43" s="302">
        <v>46000</v>
      </c>
      <c r="J43" s="302">
        <v>46000</v>
      </c>
      <c r="K43" s="302">
        <v>46000</v>
      </c>
      <c r="L43" s="302">
        <v>46000</v>
      </c>
      <c r="M43" s="302">
        <v>46000</v>
      </c>
      <c r="N43" s="302">
        <v>46000</v>
      </c>
      <c r="O43" s="302">
        <v>46000</v>
      </c>
      <c r="P43" s="302">
        <v>46000</v>
      </c>
      <c r="Q43" s="302">
        <v>46000</v>
      </c>
      <c r="R43" s="302">
        <v>47700</v>
      </c>
      <c r="S43" s="302">
        <v>47700</v>
      </c>
      <c r="T43" s="302">
        <v>46000</v>
      </c>
      <c r="U43" s="302">
        <v>47300</v>
      </c>
      <c r="V43" s="302">
        <v>46000</v>
      </c>
      <c r="W43" s="302">
        <v>47700</v>
      </c>
      <c r="X43" s="302">
        <v>46000</v>
      </c>
      <c r="Y43" s="302">
        <v>46000</v>
      </c>
      <c r="Z43" s="302">
        <v>46000</v>
      </c>
      <c r="AA43" s="302">
        <v>46000</v>
      </c>
      <c r="AB43" s="302">
        <v>46000</v>
      </c>
      <c r="AC43" s="302">
        <v>46000</v>
      </c>
      <c r="AD43" s="302">
        <v>46000</v>
      </c>
      <c r="AE43" s="302">
        <v>46000</v>
      </c>
      <c r="AF43" s="302">
        <v>46000</v>
      </c>
      <c r="AG43" s="302">
        <v>47300</v>
      </c>
      <c r="AH43" s="302">
        <v>46000</v>
      </c>
      <c r="AI43" s="302">
        <v>49404</v>
      </c>
      <c r="AJ43" s="302">
        <v>47300</v>
      </c>
      <c r="AK43" s="302">
        <v>46055</v>
      </c>
      <c r="AL43" s="302">
        <v>46000</v>
      </c>
      <c r="AM43" s="302">
        <v>46000</v>
      </c>
      <c r="AN43" s="302">
        <v>47300</v>
      </c>
      <c r="AO43" s="302">
        <v>47300</v>
      </c>
      <c r="AP43" s="302">
        <v>46000</v>
      </c>
      <c r="AQ43" s="302">
        <v>47300</v>
      </c>
      <c r="AR43" s="302">
        <v>47300</v>
      </c>
      <c r="AS43" s="302">
        <v>46000</v>
      </c>
      <c r="AT43" s="302">
        <v>47300</v>
      </c>
      <c r="AU43" s="302">
        <v>46725</v>
      </c>
      <c r="AV43" s="302">
        <v>47300</v>
      </c>
      <c r="AW43" s="302">
        <v>46000</v>
      </c>
      <c r="AX43" s="302">
        <v>47300</v>
      </c>
      <c r="AY43" s="302">
        <v>47300</v>
      </c>
      <c r="AZ43" s="302">
        <v>47300</v>
      </c>
      <c r="BA43" s="302">
        <v>50242</v>
      </c>
      <c r="BB43" s="302">
        <v>47300</v>
      </c>
      <c r="BC43" s="302">
        <v>46139</v>
      </c>
      <c r="BD43" s="302">
        <v>47300</v>
      </c>
      <c r="BE43" s="302">
        <v>47300</v>
      </c>
      <c r="BF43" s="302">
        <v>47300</v>
      </c>
      <c r="BG43" s="302">
        <v>47300</v>
      </c>
      <c r="BH43" s="302">
        <v>46000</v>
      </c>
      <c r="BI43" s="302">
        <v>47300</v>
      </c>
      <c r="BJ43" s="302">
        <v>46000</v>
      </c>
      <c r="BK43" s="302">
        <v>47300</v>
      </c>
      <c r="BL43" s="302">
        <v>47300</v>
      </c>
      <c r="BM43" s="302">
        <v>47300</v>
      </c>
      <c r="BN43" s="302">
        <v>47300</v>
      </c>
      <c r="BO43" s="302">
        <v>47300</v>
      </c>
      <c r="BP43" s="302">
        <v>46000</v>
      </c>
      <c r="BQ43" s="302">
        <v>47300</v>
      </c>
      <c r="BR43" s="302">
        <v>47300</v>
      </c>
      <c r="BS43" s="302">
        <v>46000</v>
      </c>
      <c r="BT43" s="302">
        <v>47300</v>
      </c>
      <c r="BU43" s="302">
        <v>46000</v>
      </c>
      <c r="BV43" s="302">
        <v>47300</v>
      </c>
      <c r="BW43" s="302">
        <v>47300</v>
      </c>
      <c r="BX43" s="302">
        <v>47300</v>
      </c>
      <c r="BY43" s="302">
        <v>47300</v>
      </c>
      <c r="BZ43" s="302">
        <v>47300</v>
      </c>
      <c r="CA43" s="302">
        <v>47300</v>
      </c>
      <c r="CB43" s="302">
        <v>47300</v>
      </c>
      <c r="CC43" s="302">
        <v>47300</v>
      </c>
      <c r="CD43" s="302">
        <v>47300</v>
      </c>
      <c r="CE43" s="302">
        <v>47300</v>
      </c>
      <c r="CF43" s="302">
        <v>46557</v>
      </c>
      <c r="CG43" s="302">
        <v>46000</v>
      </c>
      <c r="CH43" s="302">
        <v>47300</v>
      </c>
      <c r="CI43" s="302">
        <v>47300</v>
      </c>
      <c r="CJ43" s="302">
        <v>47300</v>
      </c>
      <c r="CK43" s="302">
        <v>46000</v>
      </c>
      <c r="CL43" s="302">
        <v>46000</v>
      </c>
      <c r="CM43" s="302">
        <v>47300</v>
      </c>
      <c r="CN43" s="302">
        <v>47300</v>
      </c>
      <c r="CO43" s="302">
        <v>46000</v>
      </c>
      <c r="CP43" s="302">
        <v>46000</v>
      </c>
      <c r="CQ43" s="302">
        <v>45575</v>
      </c>
      <c r="CR43" s="302">
        <v>46000</v>
      </c>
      <c r="CS43" s="302">
        <v>46000</v>
      </c>
      <c r="CT43" s="302">
        <v>47300</v>
      </c>
      <c r="CU43" s="302">
        <v>47300</v>
      </c>
      <c r="CV43" s="302">
        <v>45594</v>
      </c>
      <c r="CW43" s="302">
        <v>47300</v>
      </c>
      <c r="CX43" s="302">
        <v>47300</v>
      </c>
      <c r="CY43" s="302">
        <v>49195</v>
      </c>
      <c r="CZ43" s="302">
        <v>47300</v>
      </c>
      <c r="DA43" s="302">
        <v>47018</v>
      </c>
      <c r="DB43" s="302">
        <v>47300</v>
      </c>
      <c r="DC43" s="302">
        <v>47300</v>
      </c>
      <c r="DD43" s="302">
        <v>45427</v>
      </c>
      <c r="DE43" s="302">
        <v>47300</v>
      </c>
      <c r="DF43" s="302">
        <v>45845</v>
      </c>
      <c r="DG43" s="302">
        <v>47300</v>
      </c>
      <c r="DH43" s="302">
        <v>47300</v>
      </c>
      <c r="DI43" s="302">
        <v>47300</v>
      </c>
      <c r="DJ43" s="302">
        <v>46000</v>
      </c>
      <c r="DK43" s="302">
        <v>46000</v>
      </c>
      <c r="DL43" s="302">
        <v>47300</v>
      </c>
      <c r="DM43" s="302">
        <v>47300</v>
      </c>
      <c r="DN43" s="302">
        <v>46000</v>
      </c>
      <c r="DO43" s="302">
        <v>47300</v>
      </c>
      <c r="DP43" s="302">
        <v>46000</v>
      </c>
      <c r="DQ43" s="302">
        <v>46767</v>
      </c>
      <c r="DR43" s="302">
        <v>44380</v>
      </c>
      <c r="DS43" s="302">
        <v>47300</v>
      </c>
      <c r="DT43" s="302">
        <v>47300</v>
      </c>
      <c r="DU43" s="302">
        <v>46000</v>
      </c>
      <c r="DV43" s="302">
        <v>47300</v>
      </c>
      <c r="DW43" s="302">
        <v>50242</v>
      </c>
      <c r="DX43" s="302">
        <v>47300</v>
      </c>
      <c r="DY43" s="302">
        <v>47300</v>
      </c>
      <c r="DZ43" s="302">
        <v>46306</v>
      </c>
      <c r="EA43" s="302">
        <v>46000</v>
      </c>
      <c r="EB43" s="302">
        <v>46000</v>
      </c>
      <c r="EC43" s="302">
        <v>47300</v>
      </c>
      <c r="ED43" s="302">
        <v>46055</v>
      </c>
      <c r="EE43" s="302">
        <v>46000</v>
      </c>
      <c r="EF43" s="302">
        <v>49271</v>
      </c>
      <c r="EG43" s="302">
        <v>45552</v>
      </c>
      <c r="EH43" s="302">
        <v>47300</v>
      </c>
      <c r="EI43" s="302">
        <v>45421</v>
      </c>
      <c r="EJ43" s="302">
        <v>47300</v>
      </c>
      <c r="EK43" s="302">
        <v>47300</v>
      </c>
      <c r="EL43" s="302">
        <v>47300</v>
      </c>
      <c r="EM43" s="302">
        <v>47300</v>
      </c>
      <c r="EN43" s="303"/>
    </row>
    <row r="44" spans="2:256">
      <c r="B44" s="13">
        <v>7</v>
      </c>
      <c r="C44" s="31" t="s">
        <v>22</v>
      </c>
      <c r="D44" s="291">
        <v>44600</v>
      </c>
      <c r="E44" s="302" t="s">
        <v>8</v>
      </c>
      <c r="F44" s="302">
        <v>44000</v>
      </c>
      <c r="G44" s="302">
        <v>44800</v>
      </c>
      <c r="H44" s="302">
        <v>44000</v>
      </c>
      <c r="I44" s="302">
        <v>44000</v>
      </c>
      <c r="J44" s="302">
        <v>44000</v>
      </c>
      <c r="K44" s="302">
        <v>44000</v>
      </c>
      <c r="L44" s="302">
        <v>44000</v>
      </c>
      <c r="M44" s="302" t="s">
        <v>8</v>
      </c>
      <c r="N44" s="302">
        <v>44000</v>
      </c>
      <c r="O44" s="302">
        <v>44000</v>
      </c>
      <c r="P44" s="302">
        <v>44000</v>
      </c>
      <c r="Q44" s="302">
        <v>44000</v>
      </c>
      <c r="R44" s="302">
        <v>44600</v>
      </c>
      <c r="S44" s="302" t="s">
        <v>8</v>
      </c>
      <c r="T44" s="302" t="s">
        <v>8</v>
      </c>
      <c r="U44" s="302">
        <v>44800</v>
      </c>
      <c r="V44" s="302">
        <v>44000</v>
      </c>
      <c r="W44" s="302">
        <v>44600</v>
      </c>
      <c r="X44" s="302">
        <v>44000</v>
      </c>
      <c r="Y44" s="302">
        <v>44000</v>
      </c>
      <c r="Z44" s="302">
        <v>44000</v>
      </c>
      <c r="AA44" s="302">
        <v>44000</v>
      </c>
      <c r="AB44" s="302">
        <v>44000</v>
      </c>
      <c r="AC44" s="302">
        <v>44000</v>
      </c>
      <c r="AD44" s="302">
        <v>44000</v>
      </c>
      <c r="AE44" s="302" t="s">
        <v>8</v>
      </c>
      <c r="AF44" s="302">
        <v>44000</v>
      </c>
      <c r="AG44" s="302">
        <v>44800</v>
      </c>
      <c r="AH44" s="302">
        <v>44000</v>
      </c>
      <c r="AI44" s="302">
        <v>44800</v>
      </c>
      <c r="AJ44" s="302">
        <v>44800</v>
      </c>
      <c r="AK44" s="302">
        <v>43543</v>
      </c>
      <c r="AL44" s="302">
        <v>44000</v>
      </c>
      <c r="AM44" s="302">
        <v>44000</v>
      </c>
      <c r="AN44" s="302">
        <v>44800</v>
      </c>
      <c r="AO44" s="302">
        <v>44800</v>
      </c>
      <c r="AP44" s="302">
        <v>44000</v>
      </c>
      <c r="AQ44" s="302">
        <v>44800</v>
      </c>
      <c r="AR44" s="302">
        <v>44800</v>
      </c>
      <c r="AS44" s="302">
        <v>44000</v>
      </c>
      <c r="AT44" s="302">
        <v>44800</v>
      </c>
      <c r="AU44" s="302">
        <v>44882</v>
      </c>
      <c r="AV44" s="302">
        <v>44800</v>
      </c>
      <c r="AW44" s="302">
        <v>44000</v>
      </c>
      <c r="AX44" s="302">
        <v>44800</v>
      </c>
      <c r="AY44" s="302">
        <v>44800</v>
      </c>
      <c r="AZ44" s="302">
        <v>44800</v>
      </c>
      <c r="BA44" s="302">
        <v>43124</v>
      </c>
      <c r="BB44" s="302">
        <v>44800</v>
      </c>
      <c r="BC44" s="302">
        <v>44800</v>
      </c>
      <c r="BD44" s="302">
        <v>44800</v>
      </c>
      <c r="BE44" s="302">
        <v>44800</v>
      </c>
      <c r="BF44" s="302">
        <v>44800</v>
      </c>
      <c r="BG44" s="302">
        <v>44800</v>
      </c>
      <c r="BH44" s="302">
        <v>44000</v>
      </c>
      <c r="BI44" s="302">
        <v>44800</v>
      </c>
      <c r="BJ44" s="302">
        <v>44000</v>
      </c>
      <c r="BK44" s="302">
        <v>44800</v>
      </c>
      <c r="BL44" s="302">
        <v>44800</v>
      </c>
      <c r="BM44" s="302">
        <v>44800</v>
      </c>
      <c r="BN44" s="302">
        <v>44800</v>
      </c>
      <c r="BO44" s="302">
        <v>44800</v>
      </c>
      <c r="BP44" s="302">
        <v>44000</v>
      </c>
      <c r="BQ44" s="302">
        <v>44800</v>
      </c>
      <c r="BR44" s="302">
        <v>44800</v>
      </c>
      <c r="BS44" s="302">
        <v>44000</v>
      </c>
      <c r="BT44" s="302">
        <v>44800</v>
      </c>
      <c r="BU44" s="302">
        <v>44000</v>
      </c>
      <c r="BV44" s="302">
        <v>44800</v>
      </c>
      <c r="BW44" s="302">
        <v>44800</v>
      </c>
      <c r="BX44" s="302">
        <v>44800</v>
      </c>
      <c r="BY44" s="302">
        <v>44800</v>
      </c>
      <c r="BZ44" s="302">
        <v>44800</v>
      </c>
      <c r="CA44" s="302">
        <v>44800</v>
      </c>
      <c r="CB44" s="302">
        <v>44800</v>
      </c>
      <c r="CC44" s="302">
        <v>44800</v>
      </c>
      <c r="CD44" s="302">
        <v>44800</v>
      </c>
      <c r="CE44" s="302">
        <v>44800</v>
      </c>
      <c r="CF44" s="302">
        <v>43543</v>
      </c>
      <c r="CG44" s="302">
        <v>44000</v>
      </c>
      <c r="CH44" s="302">
        <v>44800</v>
      </c>
      <c r="CI44" s="302">
        <v>44800</v>
      </c>
      <c r="CJ44" s="302">
        <v>44800</v>
      </c>
      <c r="CK44" s="302">
        <v>44000</v>
      </c>
      <c r="CL44" s="302">
        <v>44000</v>
      </c>
      <c r="CM44" s="302">
        <v>44800</v>
      </c>
      <c r="CN44" s="302">
        <v>44800</v>
      </c>
      <c r="CO44" s="302">
        <v>44000</v>
      </c>
      <c r="CP44" s="302">
        <v>44000</v>
      </c>
      <c r="CQ44" s="302">
        <v>43961</v>
      </c>
      <c r="CR44" s="302">
        <v>44000</v>
      </c>
      <c r="CS44" s="302">
        <v>44000</v>
      </c>
      <c r="CT44" s="302">
        <v>44800</v>
      </c>
      <c r="CU44" s="302">
        <v>44800</v>
      </c>
      <c r="CV44" s="302">
        <v>44800</v>
      </c>
      <c r="CW44" s="302">
        <v>44800</v>
      </c>
      <c r="CX44" s="302">
        <v>51498</v>
      </c>
      <c r="CY44" s="302">
        <v>44800</v>
      </c>
      <c r="CZ44" s="302">
        <v>44800</v>
      </c>
      <c r="DA44" s="302">
        <v>44800</v>
      </c>
      <c r="DB44" s="302">
        <v>44800</v>
      </c>
      <c r="DC44" s="302">
        <v>44800</v>
      </c>
      <c r="DD44" s="302">
        <v>43752</v>
      </c>
      <c r="DE44" s="302">
        <v>44800</v>
      </c>
      <c r="DF44" s="302">
        <v>44800</v>
      </c>
      <c r="DG44" s="302">
        <v>44800</v>
      </c>
      <c r="DH44" s="302">
        <v>44800</v>
      </c>
      <c r="DI44" s="302">
        <v>44800</v>
      </c>
      <c r="DJ44" s="302">
        <v>44000</v>
      </c>
      <c r="DK44" s="302">
        <v>44000</v>
      </c>
      <c r="DL44" s="302">
        <v>44800</v>
      </c>
      <c r="DM44" s="302">
        <v>44800</v>
      </c>
      <c r="DN44" s="302">
        <v>44000</v>
      </c>
      <c r="DO44" s="302">
        <v>44800</v>
      </c>
      <c r="DP44" s="302">
        <v>44000</v>
      </c>
      <c r="DQ44" s="302">
        <v>45552</v>
      </c>
      <c r="DR44" s="302">
        <v>45636</v>
      </c>
      <c r="DS44" s="302">
        <v>44800</v>
      </c>
      <c r="DT44" s="302">
        <v>44800</v>
      </c>
      <c r="DU44" s="302">
        <v>44000</v>
      </c>
      <c r="DV44" s="302">
        <v>44800</v>
      </c>
      <c r="DW44" s="302">
        <v>44800</v>
      </c>
      <c r="DX44" s="302">
        <v>44800</v>
      </c>
      <c r="DY44" s="302">
        <v>44800</v>
      </c>
      <c r="DZ44" s="302">
        <v>43878</v>
      </c>
      <c r="EA44" s="302">
        <v>44000</v>
      </c>
      <c r="EB44" s="302">
        <v>44000</v>
      </c>
      <c r="EC44" s="302">
        <v>44800</v>
      </c>
      <c r="ED44" s="302">
        <v>44162</v>
      </c>
      <c r="EE44" s="302">
        <v>44000</v>
      </c>
      <c r="EF44" s="302">
        <v>47107</v>
      </c>
      <c r="EG44" s="302">
        <v>44800</v>
      </c>
      <c r="EH44" s="302">
        <v>44800</v>
      </c>
      <c r="EI44" s="302">
        <v>44800</v>
      </c>
      <c r="EJ44" s="302">
        <v>44800</v>
      </c>
      <c r="EK44" s="302">
        <v>44800</v>
      </c>
      <c r="EL44" s="302">
        <v>44800</v>
      </c>
      <c r="EM44" s="302">
        <v>44800</v>
      </c>
      <c r="EN44" s="303"/>
    </row>
    <row r="45" spans="2:256">
      <c r="B45" s="13">
        <v>8</v>
      </c>
      <c r="C45" s="31" t="s">
        <v>23</v>
      </c>
      <c r="D45" s="291">
        <v>44500</v>
      </c>
      <c r="E45" s="302">
        <v>43000</v>
      </c>
      <c r="F45" s="302">
        <v>43000</v>
      </c>
      <c r="G45" s="302">
        <v>44600</v>
      </c>
      <c r="H45" s="302">
        <v>43000</v>
      </c>
      <c r="I45" s="302">
        <v>43000</v>
      </c>
      <c r="J45" s="302">
        <v>43000</v>
      </c>
      <c r="K45" s="302">
        <v>43000</v>
      </c>
      <c r="L45" s="302">
        <v>43000</v>
      </c>
      <c r="M45" s="302">
        <v>43000</v>
      </c>
      <c r="N45" s="302">
        <v>43000</v>
      </c>
      <c r="O45" s="302">
        <v>43000</v>
      </c>
      <c r="P45" s="302">
        <v>43000</v>
      </c>
      <c r="Q45" s="302">
        <v>43000</v>
      </c>
      <c r="R45" s="302">
        <v>44500</v>
      </c>
      <c r="S45" s="302">
        <v>44500</v>
      </c>
      <c r="T45" s="302">
        <v>43000</v>
      </c>
      <c r="U45" s="302">
        <v>44600</v>
      </c>
      <c r="V45" s="302">
        <v>43000</v>
      </c>
      <c r="W45" s="302">
        <v>44500</v>
      </c>
      <c r="X45" s="302">
        <v>43000</v>
      </c>
      <c r="Y45" s="302">
        <v>43000</v>
      </c>
      <c r="Z45" s="302">
        <v>43000</v>
      </c>
      <c r="AA45" s="302">
        <v>43000</v>
      </c>
      <c r="AB45" s="302">
        <v>43000</v>
      </c>
      <c r="AC45" s="302">
        <v>43000</v>
      </c>
      <c r="AD45" s="302">
        <v>43000</v>
      </c>
      <c r="AE45" s="302">
        <v>43000</v>
      </c>
      <c r="AF45" s="302">
        <v>43000</v>
      </c>
      <c r="AG45" s="302">
        <v>44600</v>
      </c>
      <c r="AH45" s="302">
        <v>43000</v>
      </c>
      <c r="AI45" s="302">
        <v>44600</v>
      </c>
      <c r="AJ45" s="302">
        <v>44600</v>
      </c>
      <c r="AK45" s="302">
        <v>43124</v>
      </c>
      <c r="AL45" s="302">
        <v>43000</v>
      </c>
      <c r="AM45" s="302">
        <v>43000</v>
      </c>
      <c r="AN45" s="302">
        <v>44600</v>
      </c>
      <c r="AO45" s="302">
        <v>44600</v>
      </c>
      <c r="AP45" s="302">
        <v>43000</v>
      </c>
      <c r="AQ45" s="302">
        <v>44600</v>
      </c>
      <c r="AR45" s="302">
        <v>44600</v>
      </c>
      <c r="AS45" s="302">
        <v>43000</v>
      </c>
      <c r="AT45" s="302">
        <v>44600</v>
      </c>
      <c r="AU45" s="302">
        <v>44171</v>
      </c>
      <c r="AV45" s="302">
        <v>44600</v>
      </c>
      <c r="AW45" s="302">
        <v>43000</v>
      </c>
      <c r="AX45" s="302">
        <v>44600</v>
      </c>
      <c r="AY45" s="302">
        <v>44600</v>
      </c>
      <c r="AZ45" s="302">
        <v>44600</v>
      </c>
      <c r="BA45" s="302">
        <v>43124</v>
      </c>
      <c r="BB45" s="302">
        <v>44600</v>
      </c>
      <c r="BC45" s="302">
        <v>44158</v>
      </c>
      <c r="BD45" s="302">
        <v>44600</v>
      </c>
      <c r="BE45" s="302">
        <v>44600</v>
      </c>
      <c r="BF45" s="302">
        <v>44600</v>
      </c>
      <c r="BG45" s="302">
        <v>44600</v>
      </c>
      <c r="BH45" s="302">
        <v>43000</v>
      </c>
      <c r="BI45" s="302">
        <v>44600</v>
      </c>
      <c r="BJ45" s="302">
        <v>43000</v>
      </c>
      <c r="BK45" s="302">
        <v>44600</v>
      </c>
      <c r="BL45" s="302">
        <v>44600</v>
      </c>
      <c r="BM45" s="302">
        <v>44600</v>
      </c>
      <c r="BN45" s="302">
        <v>44600</v>
      </c>
      <c r="BO45" s="302">
        <v>44600</v>
      </c>
      <c r="BP45" s="302">
        <v>43000</v>
      </c>
      <c r="BQ45" s="302">
        <v>44600</v>
      </c>
      <c r="BR45" s="302">
        <v>44600</v>
      </c>
      <c r="BS45" s="302">
        <v>43000</v>
      </c>
      <c r="BT45" s="302">
        <v>44600</v>
      </c>
      <c r="BU45" s="302">
        <v>43000</v>
      </c>
      <c r="BV45" s="302">
        <v>44600</v>
      </c>
      <c r="BW45" s="302">
        <v>44600</v>
      </c>
      <c r="BX45" s="302">
        <v>44600</v>
      </c>
      <c r="BY45" s="302">
        <v>44600</v>
      </c>
      <c r="BZ45" s="302">
        <v>44600</v>
      </c>
      <c r="CA45" s="302">
        <v>44600</v>
      </c>
      <c r="CB45" s="302">
        <v>44600</v>
      </c>
      <c r="CC45" s="302">
        <v>44600</v>
      </c>
      <c r="CD45" s="302">
        <v>44600</v>
      </c>
      <c r="CE45" s="302">
        <v>44600</v>
      </c>
      <c r="CF45" s="302">
        <v>43585</v>
      </c>
      <c r="CG45" s="302">
        <v>43000</v>
      </c>
      <c r="CH45" s="302">
        <v>44600</v>
      </c>
      <c r="CI45" s="302">
        <v>44600</v>
      </c>
      <c r="CJ45" s="302">
        <v>44600</v>
      </c>
      <c r="CK45" s="302">
        <v>43000</v>
      </c>
      <c r="CL45" s="302">
        <v>43000</v>
      </c>
      <c r="CM45" s="302">
        <v>44673</v>
      </c>
      <c r="CN45" s="302">
        <v>44600</v>
      </c>
      <c r="CO45" s="302">
        <v>43000</v>
      </c>
      <c r="CP45" s="302">
        <v>43000</v>
      </c>
      <c r="CQ45" s="302">
        <v>43208</v>
      </c>
      <c r="CR45" s="302">
        <v>43000</v>
      </c>
      <c r="CS45" s="302">
        <v>43000</v>
      </c>
      <c r="CT45" s="302">
        <v>44600</v>
      </c>
      <c r="CU45" s="302">
        <v>44600</v>
      </c>
      <c r="CV45" s="302">
        <v>44600</v>
      </c>
      <c r="CW45" s="302">
        <v>44600</v>
      </c>
      <c r="CX45" s="302">
        <v>44213</v>
      </c>
      <c r="CY45" s="302">
        <v>46599</v>
      </c>
      <c r="CZ45" s="302">
        <v>44600</v>
      </c>
      <c r="DA45" s="302">
        <v>42915</v>
      </c>
      <c r="DB45" s="302">
        <v>44600</v>
      </c>
      <c r="DC45" s="302">
        <v>44600</v>
      </c>
      <c r="DD45" s="302">
        <v>43292</v>
      </c>
      <c r="DE45" s="302">
        <v>44600</v>
      </c>
      <c r="DF45" s="302">
        <v>40528</v>
      </c>
      <c r="DG45" s="302">
        <v>44600</v>
      </c>
      <c r="DH45" s="302">
        <v>44600</v>
      </c>
      <c r="DI45" s="302">
        <v>44600</v>
      </c>
      <c r="DJ45" s="302">
        <v>43000</v>
      </c>
      <c r="DK45" s="302">
        <v>43000</v>
      </c>
      <c r="DL45" s="302">
        <v>44600</v>
      </c>
      <c r="DM45" s="302">
        <v>43961</v>
      </c>
      <c r="DN45" s="302">
        <v>43000</v>
      </c>
      <c r="DO45" s="302">
        <v>44600</v>
      </c>
      <c r="DP45" s="302">
        <v>43000</v>
      </c>
      <c r="DQ45" s="302">
        <v>41073</v>
      </c>
      <c r="DR45" s="302">
        <v>43961</v>
      </c>
      <c r="DS45" s="302">
        <v>44600</v>
      </c>
      <c r="DT45" s="302">
        <v>44600</v>
      </c>
      <c r="DU45" s="302">
        <v>43000</v>
      </c>
      <c r="DV45" s="302">
        <v>44600</v>
      </c>
      <c r="DW45" s="302">
        <v>44600</v>
      </c>
      <c r="DX45" s="302">
        <v>44600</v>
      </c>
      <c r="DY45" s="302">
        <v>44600</v>
      </c>
      <c r="DZ45" s="302">
        <v>43333</v>
      </c>
      <c r="EA45" s="302">
        <v>43000</v>
      </c>
      <c r="EB45" s="302">
        <v>43000</v>
      </c>
      <c r="EC45" s="302">
        <v>44600</v>
      </c>
      <c r="ED45" s="302">
        <v>43528</v>
      </c>
      <c r="EE45" s="302">
        <v>43000</v>
      </c>
      <c r="EF45" s="302">
        <v>46092</v>
      </c>
      <c r="EG45" s="302">
        <v>43208</v>
      </c>
      <c r="EH45" s="302">
        <v>44600</v>
      </c>
      <c r="EI45" s="302">
        <v>43332</v>
      </c>
      <c r="EJ45" s="302">
        <v>44600</v>
      </c>
      <c r="EK45" s="302">
        <v>44600</v>
      </c>
      <c r="EL45" s="302">
        <v>44600</v>
      </c>
      <c r="EM45" s="302">
        <v>44600</v>
      </c>
      <c r="EN45" s="303"/>
    </row>
    <row r="46" spans="2:256">
      <c r="B46" s="13">
        <v>9</v>
      </c>
      <c r="C46" s="35" t="s">
        <v>10</v>
      </c>
      <c r="D46" s="304">
        <v>47143.4</v>
      </c>
      <c r="E46" s="304">
        <v>47143.4</v>
      </c>
      <c r="F46" s="304">
        <v>47143.4</v>
      </c>
      <c r="G46" s="304">
        <v>47143.4</v>
      </c>
      <c r="H46" s="304">
        <v>47143.4</v>
      </c>
      <c r="I46" s="304">
        <v>47143.4</v>
      </c>
      <c r="J46" s="304">
        <v>47143.4</v>
      </c>
      <c r="K46" s="304">
        <v>47143.4</v>
      </c>
      <c r="L46" s="304">
        <v>47143.4</v>
      </c>
      <c r="M46" s="304">
        <v>47143.4</v>
      </c>
      <c r="N46" s="304">
        <v>47143.4</v>
      </c>
      <c r="O46" s="304">
        <v>47143.4</v>
      </c>
      <c r="P46" s="304">
        <v>47143.4</v>
      </c>
      <c r="Q46" s="304">
        <v>47143.4</v>
      </c>
      <c r="R46" s="304">
        <v>47143.4</v>
      </c>
      <c r="S46" s="304">
        <v>47143.4</v>
      </c>
      <c r="T46" s="304">
        <v>47143.4</v>
      </c>
      <c r="U46" s="304">
        <v>47143.4</v>
      </c>
      <c r="V46" s="304">
        <v>47143.4</v>
      </c>
      <c r="W46" s="304">
        <v>47143.4</v>
      </c>
      <c r="X46" s="304">
        <v>47143.4</v>
      </c>
      <c r="Y46" s="304">
        <v>47143.4</v>
      </c>
      <c r="Z46" s="304">
        <v>47143.4</v>
      </c>
      <c r="AA46" s="304">
        <v>47143.4</v>
      </c>
      <c r="AB46" s="304">
        <v>47143.4</v>
      </c>
      <c r="AC46" s="304">
        <v>47143.4</v>
      </c>
      <c r="AD46" s="304">
        <v>47143.4</v>
      </c>
      <c r="AE46" s="304">
        <v>47143.4</v>
      </c>
      <c r="AF46" s="304">
        <v>47143.4</v>
      </c>
      <c r="AG46" s="304">
        <v>47143.4</v>
      </c>
      <c r="AH46" s="304">
        <v>47143.4</v>
      </c>
      <c r="AI46" s="304">
        <v>47143.4</v>
      </c>
      <c r="AJ46" s="304">
        <v>47143.4</v>
      </c>
      <c r="AK46" s="304">
        <v>47143.4</v>
      </c>
      <c r="AL46" s="304">
        <v>47143.4</v>
      </c>
      <c r="AM46" s="304">
        <v>47143.4</v>
      </c>
      <c r="AN46" s="304">
        <v>47143.4</v>
      </c>
      <c r="AO46" s="304">
        <v>47143.4</v>
      </c>
      <c r="AP46" s="304">
        <v>47143.4</v>
      </c>
      <c r="AQ46" s="304">
        <v>47143.4</v>
      </c>
      <c r="AR46" s="304">
        <v>47143.4</v>
      </c>
      <c r="AS46" s="304">
        <v>47143.4</v>
      </c>
      <c r="AT46" s="304">
        <v>47143.4</v>
      </c>
      <c r="AU46" s="304">
        <v>47143.4</v>
      </c>
      <c r="AV46" s="304">
        <v>47143.4</v>
      </c>
      <c r="AW46" s="304">
        <v>47143.4</v>
      </c>
      <c r="AX46" s="304">
        <v>47143.4</v>
      </c>
      <c r="AY46" s="304">
        <v>47143.4</v>
      </c>
      <c r="AZ46" s="304">
        <v>47143.4</v>
      </c>
      <c r="BA46" s="304">
        <v>47143.4</v>
      </c>
      <c r="BB46" s="304">
        <v>47143.4</v>
      </c>
      <c r="BC46" s="304">
        <v>47143.4</v>
      </c>
      <c r="BD46" s="304">
        <v>47143.4</v>
      </c>
      <c r="BE46" s="304">
        <v>47143.4</v>
      </c>
      <c r="BF46" s="304">
        <v>47143.4</v>
      </c>
      <c r="BG46" s="304">
        <v>47143.4</v>
      </c>
      <c r="BH46" s="304">
        <v>47143.4</v>
      </c>
      <c r="BI46" s="304">
        <v>47143.4</v>
      </c>
      <c r="BJ46" s="304">
        <v>47143.4</v>
      </c>
      <c r="BK46" s="304">
        <v>47143.4</v>
      </c>
      <c r="BL46" s="304">
        <v>47143.4</v>
      </c>
      <c r="BM46" s="304">
        <v>47143.4</v>
      </c>
      <c r="BN46" s="304">
        <v>47143.4</v>
      </c>
      <c r="BO46" s="304">
        <v>47143.4</v>
      </c>
      <c r="BP46" s="304">
        <v>47143.4</v>
      </c>
      <c r="BQ46" s="304">
        <v>47143.4</v>
      </c>
      <c r="BR46" s="304">
        <v>47143.4</v>
      </c>
      <c r="BS46" s="304">
        <v>47143.4</v>
      </c>
      <c r="BT46" s="304">
        <v>47143.4</v>
      </c>
      <c r="BU46" s="304">
        <v>47143.4</v>
      </c>
      <c r="BV46" s="304">
        <v>47143.4</v>
      </c>
      <c r="BW46" s="304">
        <v>47143.4</v>
      </c>
      <c r="BX46" s="304">
        <v>47143.4</v>
      </c>
      <c r="BY46" s="304">
        <v>47143.4</v>
      </c>
      <c r="BZ46" s="304">
        <v>47143.4</v>
      </c>
      <c r="CA46" s="304">
        <v>47143.4</v>
      </c>
      <c r="CB46" s="304">
        <v>47143.4</v>
      </c>
      <c r="CC46" s="304">
        <v>47143.4</v>
      </c>
      <c r="CD46" s="304">
        <v>47143.4</v>
      </c>
      <c r="CE46" s="304">
        <v>47143.4</v>
      </c>
      <c r="CF46" s="304">
        <v>47143.4</v>
      </c>
      <c r="CG46" s="304">
        <v>47143.4</v>
      </c>
      <c r="CH46" s="304">
        <v>47143.4</v>
      </c>
      <c r="CI46" s="304">
        <v>47143.4</v>
      </c>
      <c r="CJ46" s="304">
        <v>47143.4</v>
      </c>
      <c r="CK46" s="304">
        <v>47143.4</v>
      </c>
      <c r="CL46" s="304">
        <v>47143.4</v>
      </c>
      <c r="CM46" s="304">
        <v>47143.4</v>
      </c>
      <c r="CN46" s="304">
        <v>47143.4</v>
      </c>
      <c r="CO46" s="304">
        <v>47143.4</v>
      </c>
      <c r="CP46" s="304">
        <v>47143.4</v>
      </c>
      <c r="CQ46" s="304">
        <v>47143.4</v>
      </c>
      <c r="CR46" s="304">
        <v>47143.4</v>
      </c>
      <c r="CS46" s="304">
        <v>47143.4</v>
      </c>
      <c r="CT46" s="304">
        <v>47143.4</v>
      </c>
      <c r="CU46" s="304">
        <v>47143.4</v>
      </c>
      <c r="CV46" s="304">
        <v>47143.4</v>
      </c>
      <c r="CW46" s="304">
        <v>47143.4</v>
      </c>
      <c r="CX46" s="304">
        <v>47143.4</v>
      </c>
      <c r="CY46" s="304">
        <v>47143.4</v>
      </c>
      <c r="CZ46" s="304">
        <v>47143.4</v>
      </c>
      <c r="DA46" s="304">
        <v>47143.4</v>
      </c>
      <c r="DB46" s="304">
        <v>47143.4</v>
      </c>
      <c r="DC46" s="304">
        <v>47143.4</v>
      </c>
      <c r="DD46" s="304">
        <v>47143.4</v>
      </c>
      <c r="DE46" s="304">
        <v>47143.4</v>
      </c>
      <c r="DF46" s="304">
        <v>47143.4</v>
      </c>
      <c r="DG46" s="304">
        <v>47143.4</v>
      </c>
      <c r="DH46" s="304">
        <v>47143.4</v>
      </c>
      <c r="DI46" s="304">
        <v>47143.4</v>
      </c>
      <c r="DJ46" s="304">
        <v>47143.4</v>
      </c>
      <c r="DK46" s="304">
        <v>47143.4</v>
      </c>
      <c r="DL46" s="304">
        <v>47143.4</v>
      </c>
      <c r="DM46" s="304">
        <v>47143.4</v>
      </c>
      <c r="DN46" s="304">
        <v>47143.4</v>
      </c>
      <c r="DO46" s="304">
        <v>47143.4</v>
      </c>
      <c r="DP46" s="304">
        <v>47143.4</v>
      </c>
      <c r="DQ46" s="304">
        <v>47143.4</v>
      </c>
      <c r="DR46" s="304">
        <v>47143.4</v>
      </c>
      <c r="DS46" s="304">
        <v>47143.4</v>
      </c>
      <c r="DT46" s="304">
        <v>47143.4</v>
      </c>
      <c r="DU46" s="304">
        <v>47143.4</v>
      </c>
      <c r="DV46" s="304">
        <v>47143.4</v>
      </c>
      <c r="DW46" s="304">
        <v>47143.4</v>
      </c>
      <c r="DX46" s="304">
        <v>47143.4</v>
      </c>
      <c r="DY46" s="304">
        <v>47143.4</v>
      </c>
      <c r="DZ46" s="304">
        <v>47143.4</v>
      </c>
      <c r="EA46" s="304">
        <v>47143.4</v>
      </c>
      <c r="EB46" s="304">
        <v>47143.4</v>
      </c>
      <c r="EC46" s="304">
        <v>47143.4</v>
      </c>
      <c r="ED46" s="304">
        <v>47143.4</v>
      </c>
      <c r="EE46" s="304">
        <v>47143.4</v>
      </c>
      <c r="EF46" s="304">
        <v>47143.4</v>
      </c>
      <c r="EG46" s="304">
        <v>47143.4</v>
      </c>
      <c r="EH46" s="304">
        <v>47143.4</v>
      </c>
      <c r="EI46" s="304">
        <v>47143.4</v>
      </c>
      <c r="EJ46" s="304">
        <v>47143.4</v>
      </c>
      <c r="EK46" s="304">
        <v>47143.4</v>
      </c>
      <c r="EL46" s="304">
        <v>47143.4</v>
      </c>
      <c r="EM46" s="304">
        <v>47143.4</v>
      </c>
      <c r="EN46" s="305" t="s">
        <v>179</v>
      </c>
      <c r="EO46" s="199"/>
      <c r="EP46" s="199"/>
      <c r="EQ46" s="199"/>
      <c r="ER46" s="199"/>
      <c r="ES46" s="199"/>
      <c r="ET46" s="199"/>
      <c r="EU46" s="199"/>
      <c r="EV46" s="199"/>
      <c r="EW46" s="199"/>
      <c r="EX46" s="199"/>
      <c r="EY46" s="199"/>
      <c r="EZ46" s="199"/>
      <c r="FA46" s="199"/>
      <c r="FB46" s="199"/>
      <c r="FC46" s="199"/>
      <c r="FD46" s="199"/>
      <c r="FE46" s="199"/>
      <c r="FF46" s="199"/>
      <c r="FG46" s="199"/>
      <c r="FH46" s="199"/>
      <c r="FI46" s="199"/>
      <c r="FJ46" s="199"/>
      <c r="FK46" s="199"/>
      <c r="FL46" s="199"/>
      <c r="FM46" s="199"/>
      <c r="FN46" s="199"/>
      <c r="FO46" s="199"/>
      <c r="FP46" s="199"/>
      <c r="FQ46" s="199"/>
      <c r="FR46" s="199"/>
      <c r="FS46" s="199"/>
      <c r="FT46" s="199"/>
      <c r="FU46" s="199"/>
      <c r="FV46" s="199"/>
      <c r="FW46" s="199"/>
      <c r="FX46" s="199"/>
      <c r="FY46" s="199"/>
      <c r="FZ46" s="199"/>
      <c r="GA46" s="199"/>
      <c r="GB46" s="199"/>
      <c r="GC46" s="199"/>
      <c r="GD46" s="199"/>
      <c r="GE46" s="199"/>
      <c r="GF46" s="199"/>
      <c r="GG46" s="199"/>
      <c r="GH46" s="199"/>
      <c r="GI46" s="199"/>
      <c r="GJ46" s="199"/>
      <c r="GK46" s="199"/>
      <c r="GL46" s="199"/>
      <c r="GM46" s="199"/>
      <c r="GN46" s="199"/>
      <c r="GO46" s="199"/>
      <c r="GP46" s="199"/>
      <c r="GQ46" s="199"/>
      <c r="GR46" s="199"/>
      <c r="GS46" s="199"/>
      <c r="GT46" s="199"/>
      <c r="GU46" s="199"/>
      <c r="GV46" s="199"/>
      <c r="GW46" s="199"/>
      <c r="GX46" s="199"/>
      <c r="GY46" s="199"/>
      <c r="GZ46" s="199"/>
      <c r="HA46" s="199"/>
      <c r="HB46" s="199"/>
      <c r="HC46" s="199"/>
      <c r="HD46" s="199"/>
      <c r="HE46" s="199"/>
      <c r="HF46" s="199"/>
      <c r="HG46" s="199"/>
      <c r="HH46" s="199"/>
      <c r="HI46" s="199"/>
      <c r="HJ46" s="199"/>
      <c r="HK46" s="199"/>
      <c r="HL46" s="199"/>
      <c r="HM46" s="199"/>
      <c r="HN46" s="199"/>
      <c r="HO46" s="199"/>
      <c r="HP46" s="199"/>
      <c r="HQ46" s="199"/>
      <c r="HR46" s="199"/>
      <c r="HS46" s="199"/>
      <c r="HT46" s="199"/>
      <c r="HU46" s="199"/>
      <c r="HV46" s="199"/>
      <c r="HW46" s="199"/>
      <c r="HX46" s="199"/>
      <c r="HY46" s="199"/>
      <c r="HZ46" s="199"/>
      <c r="IA46" s="199"/>
      <c r="IB46" s="199"/>
      <c r="IC46" s="199"/>
      <c r="ID46" s="199"/>
      <c r="IE46" s="199"/>
      <c r="IF46" s="199"/>
      <c r="IG46" s="199"/>
      <c r="IH46" s="199"/>
      <c r="II46" s="199"/>
      <c r="IJ46" s="199"/>
      <c r="IK46" s="199"/>
      <c r="IL46" s="199"/>
      <c r="IM46" s="199"/>
      <c r="IN46" s="199"/>
      <c r="IO46" s="199"/>
      <c r="IP46" s="199"/>
      <c r="IQ46" s="199"/>
      <c r="IR46" s="199"/>
      <c r="IS46" s="199"/>
      <c r="IT46" s="199"/>
      <c r="IU46" s="199"/>
      <c r="IV46" s="199"/>
    </row>
    <row r="47" spans="2:256"/>
    <row r="48" spans="2:256" s="306" customFormat="1" ht="15.75">
      <c r="C48" s="283" t="s">
        <v>196</v>
      </c>
    </row>
    <row r="49" spans="1:54">
      <c r="C49" s="40" t="s">
        <v>180</v>
      </c>
    </row>
    <row r="50" spans="1:54" s="31" customFormat="1">
      <c r="A50" s="13"/>
      <c r="B50" s="13"/>
      <c r="C50" s="227" t="s">
        <v>181</v>
      </c>
      <c r="D50" s="227" t="s">
        <v>182</v>
      </c>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row>
    <row r="51" spans="1:54">
      <c r="C51" s="13" t="s">
        <v>183</v>
      </c>
      <c r="D51" s="13">
        <v>0.50485579999999997</v>
      </c>
    </row>
    <row r="52" spans="1:54">
      <c r="C52" s="13" t="s">
        <v>184</v>
      </c>
      <c r="D52" s="13">
        <v>0.513069</v>
      </c>
    </row>
    <row r="53" spans="1:54">
      <c r="C53" s="13" t="s">
        <v>185</v>
      </c>
      <c r="D53" s="13">
        <v>0.49541099999999999</v>
      </c>
    </row>
    <row r="54" spans="1:54">
      <c r="C54" s="13" t="s">
        <v>186</v>
      </c>
      <c r="D54" s="13">
        <v>0.33866099999999999</v>
      </c>
    </row>
    <row r="55" spans="1:54">
      <c r="C55" s="13" t="s">
        <v>187</v>
      </c>
      <c r="D55" s="13">
        <v>0.64548800000000006</v>
      </c>
    </row>
    <row r="56" spans="1:54">
      <c r="C56" s="13" t="s">
        <v>188</v>
      </c>
      <c r="D56" s="13">
        <v>0.19358649999999999</v>
      </c>
    </row>
    <row r="57" spans="1:54">
      <c r="C57" s="13" t="s">
        <v>189</v>
      </c>
      <c r="D57" s="13">
        <v>0.67047370000000006</v>
      </c>
    </row>
    <row r="58" spans="1:54">
      <c r="C58" s="13" t="s">
        <v>190</v>
      </c>
      <c r="D58" s="13">
        <v>0.4988224</v>
      </c>
    </row>
    <row r="59" spans="1:54">
      <c r="C59" s="13" t="s">
        <v>191</v>
      </c>
      <c r="D59" s="13">
        <v>0.3406189</v>
      </c>
    </row>
    <row r="60" spans="1:54">
      <c r="C60" s="13" t="s">
        <v>192</v>
      </c>
      <c r="D60" s="13">
        <v>0.7293463</v>
      </c>
    </row>
    <row r="61" spans="1:54">
      <c r="C61" s="13" t="s">
        <v>40</v>
      </c>
      <c r="D61" s="13">
        <v>3.2440199999999995E-2</v>
      </c>
    </row>
    <row r="62" spans="1:54">
      <c r="C62" s="13" t="s">
        <v>41</v>
      </c>
      <c r="D62" s="13">
        <v>0.68811820000000001</v>
      </c>
    </row>
    <row r="63" spans="1:54">
      <c r="C63" s="13" t="s">
        <v>42</v>
      </c>
      <c r="D63" s="13">
        <v>9.8200400000000007E-2</v>
      </c>
    </row>
    <row r="64" spans="1:54">
      <c r="C64" s="13" t="s">
        <v>43</v>
      </c>
      <c r="D64" s="13">
        <v>0.30336960000000002</v>
      </c>
    </row>
    <row r="65" spans="3:4">
      <c r="C65" s="13" t="s">
        <v>44</v>
      </c>
      <c r="D65" s="13">
        <v>0.13829089999999999</v>
      </c>
    </row>
    <row r="66" spans="3:4">
      <c r="C66" s="13" t="s">
        <v>45</v>
      </c>
      <c r="D66" s="13">
        <v>0.9205270000000001</v>
      </c>
    </row>
    <row r="67" spans="3:4">
      <c r="C67" s="13" t="s">
        <v>46</v>
      </c>
      <c r="D67" s="13">
        <v>0.21447099999999999</v>
      </c>
    </row>
    <row r="68" spans="3:4">
      <c r="C68" s="13" t="s">
        <v>47</v>
      </c>
      <c r="D68" s="13">
        <v>0.47347519999999998</v>
      </c>
    </row>
    <row r="69" spans="3:4">
      <c r="C69" s="13" t="s">
        <v>48</v>
      </c>
      <c r="D69" s="13">
        <v>0.82486369999999998</v>
      </c>
    </row>
    <row r="70" spans="3:4">
      <c r="C70" s="13" t="s">
        <v>49</v>
      </c>
      <c r="D70" s="13">
        <v>0.58433079999999993</v>
      </c>
    </row>
    <row r="71" spans="3:4">
      <c r="C71" s="13" t="s">
        <v>50</v>
      </c>
      <c r="D71" s="13">
        <v>0.2963771</v>
      </c>
    </row>
    <row r="72" spans="3:4">
      <c r="C72" s="13" t="s">
        <v>51</v>
      </c>
      <c r="D72" s="13">
        <v>0.26003599999999999</v>
      </c>
    </row>
    <row r="73" spans="3:4">
      <c r="C73" s="13" t="s">
        <v>52</v>
      </c>
      <c r="D73" s="13">
        <v>0.69621259999999996</v>
      </c>
    </row>
    <row r="74" spans="3:4">
      <c r="C74" s="13" t="s">
        <v>53</v>
      </c>
      <c r="D74" s="13">
        <v>0.5049688</v>
      </c>
    </row>
    <row r="75" spans="3:4">
      <c r="C75" s="13" t="s">
        <v>54</v>
      </c>
      <c r="D75" s="13">
        <v>0.80195799999999995</v>
      </c>
    </row>
    <row r="76" spans="3:4">
      <c r="C76" s="13" t="s">
        <v>55</v>
      </c>
      <c r="D76" s="13">
        <v>1.8514538999999999</v>
      </c>
    </row>
    <row r="77" spans="3:4">
      <c r="C77" s="13" t="s">
        <v>56</v>
      </c>
      <c r="D77" s="13">
        <v>8.1437599999999999E-2</v>
      </c>
    </row>
    <row r="78" spans="3:4">
      <c r="C78" s="13" t="s">
        <v>57</v>
      </c>
      <c r="D78" s="13">
        <v>0.82100490000000004</v>
      </c>
    </row>
    <row r="79" spans="3:4">
      <c r="C79" s="13" t="s">
        <v>58</v>
      </c>
      <c r="D79" s="13">
        <v>0.44796179999999997</v>
      </c>
    </row>
    <row r="80" spans="3:4">
      <c r="C80" s="13" t="s">
        <v>59</v>
      </c>
      <c r="D80" s="13">
        <v>1.0049344</v>
      </c>
    </row>
    <row r="81" spans="3:4">
      <c r="C81" s="13" t="s">
        <v>60</v>
      </c>
      <c r="D81" s="13">
        <v>4.2535699999999996E-2</v>
      </c>
    </row>
    <row r="82" spans="3:4">
      <c r="C82" s="13" t="s">
        <v>61</v>
      </c>
      <c r="D82" s="13">
        <v>0.18417900000000001</v>
      </c>
    </row>
    <row r="83" spans="3:4">
      <c r="C83" s="13" t="s">
        <v>62</v>
      </c>
      <c r="D83" s="13">
        <v>0.29424250000000002</v>
      </c>
    </row>
    <row r="84" spans="3:4">
      <c r="C84" s="13" t="s">
        <v>135</v>
      </c>
      <c r="D84" s="13">
        <v>0.7875875</v>
      </c>
    </row>
    <row r="85" spans="3:4">
      <c r="C85" s="13" t="s">
        <v>63</v>
      </c>
      <c r="D85" s="13">
        <v>0.65888190000000002</v>
      </c>
    </row>
    <row r="86" spans="3:4">
      <c r="C86" s="13" t="s">
        <v>64</v>
      </c>
      <c r="D86" s="13">
        <v>0.14961720000000001</v>
      </c>
    </row>
    <row r="87" spans="3:4">
      <c r="C87" s="13" t="s">
        <v>65</v>
      </c>
      <c r="D87" s="13">
        <v>0.1023289</v>
      </c>
    </row>
    <row r="88" spans="3:4">
      <c r="C88" s="13" t="s">
        <v>73</v>
      </c>
      <c r="D88" s="13">
        <v>2.7816E-3</v>
      </c>
    </row>
    <row r="89" spans="3:4">
      <c r="C89" s="13" t="s">
        <v>66</v>
      </c>
      <c r="D89" s="13">
        <v>4.7398499999999996E-2</v>
      </c>
    </row>
    <row r="90" spans="3:4">
      <c r="C90" s="13" t="s">
        <v>67</v>
      </c>
      <c r="D90" s="13">
        <v>0.43621719999999997</v>
      </c>
    </row>
    <row r="91" spans="3:4">
      <c r="C91" s="13" t="s">
        <v>68</v>
      </c>
      <c r="D91" s="13">
        <v>0.31839800000000001</v>
      </c>
    </row>
    <row r="92" spans="3:4">
      <c r="C92" s="13" t="s">
        <v>69</v>
      </c>
      <c r="D92" s="13">
        <v>1.0194388999999999</v>
      </c>
    </row>
    <row r="93" spans="3:4">
      <c r="C93" s="13" t="s">
        <v>70</v>
      </c>
      <c r="D93" s="13">
        <v>0.75828020000000007</v>
      </c>
    </row>
    <row r="94" spans="3:4">
      <c r="C94" s="13" t="s">
        <v>71</v>
      </c>
      <c r="D94" s="13">
        <v>0.52662900000000001</v>
      </c>
    </row>
    <row r="95" spans="3:4">
      <c r="C95" s="13" t="s">
        <v>74</v>
      </c>
      <c r="D95" s="13">
        <v>0.341339</v>
      </c>
    </row>
    <row r="96" spans="3:4">
      <c r="C96" s="13" t="s">
        <v>75</v>
      </c>
      <c r="D96" s="13">
        <v>0.6238551</v>
      </c>
    </row>
    <row r="97" spans="3:4">
      <c r="C97" s="13" t="s">
        <v>76</v>
      </c>
      <c r="D97" s="13">
        <v>0.3957349</v>
      </c>
    </row>
    <row r="98" spans="3:4">
      <c r="C98" s="13" t="s">
        <v>9</v>
      </c>
      <c r="D98" s="13">
        <v>0.46980840000000001</v>
      </c>
    </row>
    <row r="99" spans="3:4">
      <c r="C99" s="13" t="s">
        <v>77</v>
      </c>
      <c r="D99" s="13">
        <v>0.2167277</v>
      </c>
    </row>
    <row r="100" spans="3:4">
      <c r="C100" s="13" t="s">
        <v>78</v>
      </c>
      <c r="D100" s="13">
        <v>0.69034200000000001</v>
      </c>
    </row>
    <row r="101" spans="3:4">
      <c r="C101" s="13" t="s">
        <v>79</v>
      </c>
      <c r="D101" s="13">
        <v>0.64015809999999995</v>
      </c>
    </row>
    <row r="102" spans="3:4">
      <c r="C102" s="13" t="s">
        <v>80</v>
      </c>
      <c r="D102" s="13">
        <v>2.9140000000000004E-3</v>
      </c>
    </row>
    <row r="103" spans="3:4">
      <c r="C103" s="13" t="s">
        <v>81</v>
      </c>
      <c r="D103" s="13">
        <v>0.241592</v>
      </c>
    </row>
    <row r="104" spans="3:4">
      <c r="C104" s="13" t="s">
        <v>83</v>
      </c>
      <c r="D104" s="13">
        <v>8.4953000000000001E-2</v>
      </c>
    </row>
    <row r="105" spans="3:4">
      <c r="C105" s="13" t="s">
        <v>84</v>
      </c>
      <c r="D105" s="13">
        <v>0.34666050000000004</v>
      </c>
    </row>
    <row r="106" spans="3:4">
      <c r="C106" s="13" t="s">
        <v>85</v>
      </c>
      <c r="D106" s="13">
        <v>0.14496780000000001</v>
      </c>
    </row>
    <row r="107" spans="3:4">
      <c r="C107" s="13" t="s">
        <v>86</v>
      </c>
      <c r="D107" s="13">
        <v>0.40362900000000002</v>
      </c>
    </row>
    <row r="108" spans="3:4">
      <c r="C108" s="13" t="s">
        <v>87</v>
      </c>
      <c r="D108" s="13">
        <v>0.27569850000000001</v>
      </c>
    </row>
    <row r="109" spans="3:4">
      <c r="C109" s="13" t="s">
        <v>88</v>
      </c>
      <c r="D109" s="13">
        <v>0.73043050000000009</v>
      </c>
    </row>
    <row r="110" spans="3:4">
      <c r="C110" s="13" t="s">
        <v>89</v>
      </c>
      <c r="D110" s="13">
        <v>0.72496400000000005</v>
      </c>
    </row>
    <row r="111" spans="3:4">
      <c r="C111" s="13" t="s">
        <v>90</v>
      </c>
      <c r="D111" s="13">
        <v>0.33441470000000001</v>
      </c>
    </row>
    <row r="112" spans="3:4">
      <c r="C112" s="13" t="s">
        <v>91</v>
      </c>
      <c r="D112" s="13">
        <v>0.30518250000000002</v>
      </c>
    </row>
    <row r="113" spans="3:4">
      <c r="C113" s="13" t="s">
        <v>92</v>
      </c>
      <c r="D113" s="13">
        <v>0.41325259999999997</v>
      </c>
    </row>
    <row r="114" spans="3:4">
      <c r="C114" s="13" t="s">
        <v>93</v>
      </c>
      <c r="D114" s="13">
        <v>0.85461260000000006</v>
      </c>
    </row>
    <row r="115" spans="3:4">
      <c r="C115" s="13" t="s">
        <v>94</v>
      </c>
      <c r="D115" s="13">
        <v>0.34392700000000004</v>
      </c>
    </row>
    <row r="116" spans="3:4">
      <c r="C116" s="13" t="s">
        <v>95</v>
      </c>
      <c r="D116" s="13">
        <v>5.4200000000000006E-4</v>
      </c>
    </row>
    <row r="117" spans="3:4">
      <c r="C117" s="13" t="s">
        <v>96</v>
      </c>
      <c r="D117" s="13">
        <v>0.9440385</v>
      </c>
    </row>
    <row r="118" spans="3:4">
      <c r="C118" s="13" t="s">
        <v>97</v>
      </c>
      <c r="D118" s="13">
        <v>0.67672529999999997</v>
      </c>
    </row>
    <row r="119" spans="3:4">
      <c r="C119" s="13" t="s">
        <v>100</v>
      </c>
      <c r="D119" s="13">
        <v>0.51435469999999994</v>
      </c>
    </row>
    <row r="120" spans="3:4">
      <c r="C120" s="13" t="s">
        <v>98</v>
      </c>
      <c r="D120" s="13">
        <v>0.70090959999999991</v>
      </c>
    </row>
    <row r="121" spans="3:4">
      <c r="C121" s="13" t="s">
        <v>99</v>
      </c>
      <c r="D121" s="13">
        <v>0.53533299999999995</v>
      </c>
    </row>
    <row r="122" spans="3:4">
      <c r="C122" s="13" t="s">
        <v>101</v>
      </c>
      <c r="D122" s="13">
        <v>0.77365099999999998</v>
      </c>
    </row>
    <row r="123" spans="3:4">
      <c r="C123" s="13" t="s">
        <v>102</v>
      </c>
      <c r="D123" s="13">
        <v>0.40351199999999998</v>
      </c>
    </row>
    <row r="124" spans="3:4">
      <c r="C124" s="13" t="s">
        <v>103</v>
      </c>
      <c r="D124" s="13">
        <v>0.82975509999999997</v>
      </c>
    </row>
    <row r="125" spans="3:4">
      <c r="C125" s="13" t="s">
        <v>104</v>
      </c>
      <c r="D125" s="13">
        <v>0.418346</v>
      </c>
    </row>
    <row r="126" spans="3:4">
      <c r="C126" s="13" t="s">
        <v>105</v>
      </c>
      <c r="D126" s="13">
        <v>0.60187390000000007</v>
      </c>
    </row>
    <row r="127" spans="3:4">
      <c r="C127" s="13" t="s">
        <v>106</v>
      </c>
      <c r="D127" s="13">
        <v>0.52002650000000006</v>
      </c>
    </row>
    <row r="128" spans="3:4">
      <c r="C128" s="13" t="s">
        <v>107</v>
      </c>
      <c r="D128" s="13">
        <v>0.31749050000000001</v>
      </c>
    </row>
    <row r="129" spans="3:4">
      <c r="C129" s="13" t="s">
        <v>193</v>
      </c>
      <c r="D129" s="13">
        <v>0.53319550000000004</v>
      </c>
    </row>
    <row r="130" spans="3:4">
      <c r="C130" s="13" t="s">
        <v>108</v>
      </c>
      <c r="D130" s="13">
        <v>0.464337</v>
      </c>
    </row>
    <row r="131" spans="3:4">
      <c r="C131" s="13" t="s">
        <v>109</v>
      </c>
      <c r="D131" s="13">
        <v>0.64291679999999995</v>
      </c>
    </row>
    <row r="132" spans="3:4">
      <c r="C132" s="13" t="s">
        <v>110</v>
      </c>
      <c r="D132" s="13">
        <v>7.9160999999999995E-2</v>
      </c>
    </row>
    <row r="133" spans="3:4">
      <c r="C133" s="13" t="s">
        <v>111</v>
      </c>
      <c r="D133" s="13">
        <v>0.16738810000000001</v>
      </c>
    </row>
    <row r="134" spans="3:4">
      <c r="C134" s="13" t="s">
        <v>112</v>
      </c>
      <c r="D134" s="13">
        <v>0.69464970000000004</v>
      </c>
    </row>
    <row r="135" spans="3:4">
      <c r="C135" s="13" t="s">
        <v>113</v>
      </c>
      <c r="D135" s="13">
        <v>0.87882860000000007</v>
      </c>
    </row>
    <row r="136" spans="3:4">
      <c r="C136" s="13" t="s">
        <v>114</v>
      </c>
      <c r="D136" s="13">
        <v>0.13948199999999999</v>
      </c>
    </row>
    <row r="137" spans="3:4">
      <c r="C137" s="13" t="s">
        <v>115</v>
      </c>
      <c r="D137" s="13">
        <v>0.32604700000000003</v>
      </c>
    </row>
    <row r="138" spans="3:4">
      <c r="C138" s="13" t="s">
        <v>194</v>
      </c>
      <c r="D138" s="13">
        <v>0.61890590000000001</v>
      </c>
    </row>
    <row r="139" spans="3:4">
      <c r="C139" s="13" t="s">
        <v>116</v>
      </c>
      <c r="D139" s="13">
        <v>0.6553582</v>
      </c>
    </row>
    <row r="140" spans="3:4">
      <c r="C140" s="13" t="s">
        <v>117</v>
      </c>
      <c r="D140" s="13">
        <v>0.83408540000000009</v>
      </c>
    </row>
    <row r="141" spans="3:4">
      <c r="C141" s="13" t="s">
        <v>118</v>
      </c>
      <c r="D141" s="13">
        <v>0.54128500000000002</v>
      </c>
    </row>
    <row r="142" spans="3:4">
      <c r="C142" s="13" t="s">
        <v>141</v>
      </c>
      <c r="D142" s="13">
        <v>0.47556799999999999</v>
      </c>
    </row>
    <row r="143" spans="3:4">
      <c r="C143" s="13" t="s">
        <v>119</v>
      </c>
      <c r="D143" s="13">
        <v>0.52330999999999994</v>
      </c>
    </row>
    <row r="144" spans="3:4">
      <c r="C144" s="13" t="s">
        <v>120</v>
      </c>
      <c r="D144" s="13">
        <v>0.70790120000000001</v>
      </c>
    </row>
    <row r="145" spans="3:4">
      <c r="C145" s="13" t="s">
        <v>121</v>
      </c>
      <c r="D145" s="13">
        <v>1.0178000000000001E-3</v>
      </c>
    </row>
    <row r="146" spans="3:4">
      <c r="C146" s="13" t="s">
        <v>122</v>
      </c>
      <c r="D146" s="13">
        <v>0.3382211</v>
      </c>
    </row>
    <row r="147" spans="3:4">
      <c r="C147" s="13" t="s">
        <v>123</v>
      </c>
      <c r="D147" s="13">
        <v>7.5646900000000003E-2</v>
      </c>
    </row>
    <row r="148" spans="3:4">
      <c r="C148" s="13" t="s">
        <v>124</v>
      </c>
      <c r="D148" s="13">
        <v>3.7995999999999998E-3</v>
      </c>
    </row>
    <row r="149" spans="3:4">
      <c r="C149" s="13" t="s">
        <v>125</v>
      </c>
      <c r="D149" s="13">
        <v>0.39431499999999997</v>
      </c>
    </row>
    <row r="150" spans="3:4">
      <c r="C150" s="13" t="s">
        <v>126</v>
      </c>
      <c r="D150" s="13">
        <v>0.7170685</v>
      </c>
    </row>
    <row r="151" spans="3:4">
      <c r="C151" s="13" t="s">
        <v>127</v>
      </c>
      <c r="D151" s="13">
        <v>0.30910000000000004</v>
      </c>
    </row>
    <row r="152" spans="3:4">
      <c r="C152" s="13" t="s">
        <v>128</v>
      </c>
      <c r="D152" s="13">
        <v>0.54976369999999997</v>
      </c>
    </row>
    <row r="153" spans="3:4">
      <c r="C153" s="13" t="s">
        <v>129</v>
      </c>
      <c r="D153" s="13">
        <v>0.38613780000000003</v>
      </c>
    </row>
    <row r="154" spans="3:4">
      <c r="C154" s="13" t="s">
        <v>130</v>
      </c>
      <c r="D154" s="13">
        <v>6.8669999999999998E-3</v>
      </c>
    </row>
    <row r="155" spans="3:4">
      <c r="C155" s="13" t="s">
        <v>131</v>
      </c>
      <c r="D155" s="13">
        <v>0.85611270000000006</v>
      </c>
    </row>
    <row r="156" spans="3:4">
      <c r="C156" s="13" t="s">
        <v>132</v>
      </c>
      <c r="D156" s="13">
        <v>0.41280820000000001</v>
      </c>
    </row>
    <row r="157" spans="3:4">
      <c r="C157" s="13" t="s">
        <v>133</v>
      </c>
      <c r="D157" s="13">
        <v>0.22884389999999999</v>
      </c>
    </row>
    <row r="158" spans="3:4">
      <c r="C158" s="13" t="s">
        <v>134</v>
      </c>
      <c r="D158" s="13">
        <v>0</v>
      </c>
    </row>
    <row r="159" spans="3:4">
      <c r="C159" s="13" t="s">
        <v>136</v>
      </c>
      <c r="D159" s="13">
        <v>0.17232349999999999</v>
      </c>
    </row>
    <row r="160" spans="3:4">
      <c r="C160" s="13" t="s">
        <v>137</v>
      </c>
      <c r="D160" s="13">
        <v>0.43500610000000001</v>
      </c>
    </row>
    <row r="161" spans="3:4">
      <c r="C161" s="13" t="s">
        <v>138</v>
      </c>
      <c r="D161" s="13">
        <v>0.65864999999999996</v>
      </c>
    </row>
    <row r="162" spans="3:4">
      <c r="C162" s="13" t="s">
        <v>139</v>
      </c>
      <c r="D162" s="13">
        <v>0.41642399999999996</v>
      </c>
    </row>
    <row r="163" spans="3:4">
      <c r="C163" s="13" t="s">
        <v>140</v>
      </c>
      <c r="D163" s="13">
        <v>0.62571410000000005</v>
      </c>
    </row>
    <row r="164" spans="3:4">
      <c r="C164" s="13" t="s">
        <v>142</v>
      </c>
      <c r="D164" s="13">
        <v>0.42860500000000001</v>
      </c>
    </row>
    <row r="165" spans="3:4">
      <c r="C165" s="13" t="s">
        <v>143</v>
      </c>
      <c r="D165" s="13">
        <v>0.32856540000000001</v>
      </c>
    </row>
    <row r="166" spans="3:4">
      <c r="C166" s="13" t="s">
        <v>144</v>
      </c>
      <c r="D166" s="13">
        <v>0.75537339999999997</v>
      </c>
    </row>
    <row r="167" spans="3:4">
      <c r="C167" s="13" t="s">
        <v>145</v>
      </c>
      <c r="D167" s="13">
        <v>0.72589490000000001</v>
      </c>
    </row>
    <row r="168" spans="3:4">
      <c r="C168" s="13" t="s">
        <v>146</v>
      </c>
      <c r="D168" s="13">
        <v>0.71559110000000004</v>
      </c>
    </row>
    <row r="169" spans="3:4">
      <c r="C169" s="13" t="s">
        <v>147</v>
      </c>
      <c r="D169" s="13">
        <v>0.53605859999999994</v>
      </c>
    </row>
    <row r="170" spans="3:4">
      <c r="C170" s="13" t="s">
        <v>148</v>
      </c>
      <c r="D170" s="13">
        <v>0.223412</v>
      </c>
    </row>
    <row r="171" spans="3:4">
      <c r="C171" s="13" t="s">
        <v>195</v>
      </c>
      <c r="D171" s="13">
        <v>0.33175889999999997</v>
      </c>
    </row>
    <row r="172" spans="3:4">
      <c r="C172" s="13" t="s">
        <v>150</v>
      </c>
      <c r="D172" s="13">
        <v>0.86899959999999998</v>
      </c>
    </row>
    <row r="173" spans="3:4">
      <c r="C173" s="13" t="s">
        <v>151</v>
      </c>
      <c r="D173" s="13">
        <v>0.34979399999999999</v>
      </c>
    </row>
    <row r="174" spans="3:4">
      <c r="C174" s="13" t="s">
        <v>152</v>
      </c>
      <c r="D174" s="13">
        <v>0.31372440000000001</v>
      </c>
    </row>
    <row r="175" spans="3:4">
      <c r="C175" s="13" t="s">
        <v>153</v>
      </c>
      <c r="D175" s="13">
        <v>0.61391830000000003</v>
      </c>
    </row>
    <row r="176" spans="3:4">
      <c r="C176" s="13" t="s">
        <v>154</v>
      </c>
      <c r="D176" s="13">
        <v>4.7966000000000002E-2</v>
      </c>
    </row>
    <row r="177" spans="3:4">
      <c r="C177" s="13" t="s">
        <v>155</v>
      </c>
      <c r="D177" s="13">
        <v>2.5722999999999999E-2</v>
      </c>
    </row>
    <row r="178" spans="3:4">
      <c r="C178" s="13" t="s">
        <v>156</v>
      </c>
      <c r="D178" s="13">
        <v>0.60439919999999991</v>
      </c>
    </row>
    <row r="179" spans="3:4">
      <c r="C179" s="13" t="s">
        <v>157</v>
      </c>
      <c r="D179" s="13">
        <v>2.8018299999999999E-2</v>
      </c>
    </row>
    <row r="180" spans="3:4">
      <c r="C180" s="13" t="s">
        <v>167</v>
      </c>
      <c r="D180" s="13">
        <v>0.31551220000000002</v>
      </c>
    </row>
    <row r="181" spans="3:4">
      <c r="C181" s="13" t="s">
        <v>158</v>
      </c>
      <c r="D181" s="13">
        <v>0.5109283</v>
      </c>
    </row>
    <row r="182" spans="3:4">
      <c r="C182" s="13" t="s">
        <v>159</v>
      </c>
      <c r="D182" s="13">
        <v>0.45866969999999996</v>
      </c>
    </row>
    <row r="183" spans="3:4">
      <c r="C183" s="13" t="s">
        <v>160</v>
      </c>
      <c r="D183" s="13">
        <v>0.7243096</v>
      </c>
    </row>
    <row r="184" spans="3:4">
      <c r="C184" s="13" t="s">
        <v>161</v>
      </c>
      <c r="D184" s="13">
        <v>0.54585859999999997</v>
      </c>
    </row>
    <row r="185" spans="3:4">
      <c r="C185" s="13" t="s">
        <v>162</v>
      </c>
      <c r="D185" s="13">
        <v>0.438222</v>
      </c>
    </row>
    <row r="186" spans="3:4">
      <c r="C186" s="13" t="s">
        <v>163</v>
      </c>
      <c r="D186" s="13">
        <v>0.79513040000000001</v>
      </c>
    </row>
    <row r="187" spans="3:4">
      <c r="C187" s="13" t="s">
        <v>164</v>
      </c>
      <c r="D187" s="13">
        <v>0.34432879999999999</v>
      </c>
    </row>
    <row r="188" spans="3:4">
      <c r="C188" s="13" t="s">
        <v>165</v>
      </c>
      <c r="D188" s="13">
        <v>0.81998559999999998</v>
      </c>
    </row>
    <row r="189" spans="3:4">
      <c r="C189" s="13" t="s">
        <v>166</v>
      </c>
      <c r="D189" s="13">
        <v>0.50473299999999999</v>
      </c>
    </row>
    <row r="190" spans="3:4">
      <c r="C190" s="13" t="s">
        <v>168</v>
      </c>
      <c r="D190" s="13">
        <v>0.55865999999999993</v>
      </c>
    </row>
    <row r="191" spans="3:4">
      <c r="C191" s="13" t="s">
        <v>169</v>
      </c>
      <c r="D191" s="13">
        <v>0.2963499</v>
      </c>
    </row>
    <row r="192" spans="3:4">
      <c r="C192" s="13" t="s">
        <v>170</v>
      </c>
      <c r="D192" s="13">
        <v>0.44636000000000003</v>
      </c>
    </row>
    <row r="193" spans="3:4">
      <c r="C193" s="13" t="s">
        <v>171</v>
      </c>
      <c r="D193" s="13">
        <v>0.20844220000000002</v>
      </c>
    </row>
    <row r="194" spans="3:4">
      <c r="C194" s="13" t="s">
        <v>172</v>
      </c>
      <c r="D194" s="13">
        <v>0.39631379999999999</v>
      </c>
    </row>
    <row r="195" spans="3:4">
      <c r="C195" s="13" t="s">
        <v>173</v>
      </c>
      <c r="D195" s="13">
        <v>0.82303110000000002</v>
      </c>
    </row>
    <row r="196" spans="3:4">
      <c r="C196" s="13" t="s">
        <v>174</v>
      </c>
      <c r="D196" s="13">
        <v>6.7573999999999993E-3</v>
      </c>
    </row>
    <row r="197" spans="3:4">
      <c r="C197" s="13" t="s">
        <v>175</v>
      </c>
      <c r="D197" s="13">
        <v>0.57276890000000003</v>
      </c>
    </row>
    <row r="198" spans="3:4">
      <c r="C198" s="13" t="s">
        <v>176</v>
      </c>
      <c r="D198" s="13">
        <v>0.48861130000000003</v>
      </c>
    </row>
    <row r="199" spans="3:4">
      <c r="C199" s="13" t="s">
        <v>178</v>
      </c>
      <c r="D199" s="13">
        <v>0.50899280000000002</v>
      </c>
    </row>
    <row r="200" spans="3:4">
      <c r="C200" s="13" t="s">
        <v>177</v>
      </c>
      <c r="D200" s="13">
        <v>0.3078166</v>
      </c>
    </row>
    <row r="201" spans="3:4"/>
    <row r="202" spans="3:4"/>
    <row r="203" spans="3:4"/>
    <row r="204" spans="3:4"/>
    <row r="205" spans="3:4"/>
    <row r="206" spans="3:4"/>
    <row r="207" spans="3:4"/>
    <row r="208" spans="3:4"/>
    <row r="209"/>
    <row r="210"/>
    <row r="211"/>
    <row r="212"/>
  </sheetData>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2:R262"/>
  <sheetViews>
    <sheetView workbookViewId="0">
      <selection activeCell="C2" sqref="C2"/>
    </sheetView>
  </sheetViews>
  <sheetFormatPr defaultRowHeight="14.25"/>
  <cols>
    <col min="1" max="1" width="3.28515625" style="13" customWidth="1"/>
    <col min="2" max="2" width="3.140625" style="13" customWidth="1"/>
    <col min="3" max="3" width="21.42578125" style="13" customWidth="1"/>
    <col min="4" max="4" width="3.140625" style="13" customWidth="1"/>
    <col min="5" max="5" width="28.7109375" style="13" customWidth="1"/>
    <col min="6" max="6" width="25.42578125" style="13" customWidth="1"/>
    <col min="7" max="7" width="26.140625" style="13" customWidth="1"/>
    <col min="8" max="8" width="23.42578125" style="13" customWidth="1"/>
    <col min="9" max="9" width="23.28515625" style="13" customWidth="1"/>
    <col min="10" max="10" width="24.42578125" style="13" customWidth="1"/>
    <col min="11" max="11" width="19.140625" style="13" customWidth="1"/>
    <col min="12" max="12" width="23.42578125" style="13" customWidth="1"/>
    <col min="13" max="13" width="12.85546875" style="13" customWidth="1"/>
    <col min="14" max="16384" width="9.140625" style="13"/>
  </cols>
  <sheetData>
    <row r="2" spans="2:9" ht="23.25">
      <c r="C2" s="133" t="s">
        <v>909</v>
      </c>
      <c r="D2" s="35"/>
      <c r="E2" s="35"/>
    </row>
    <row r="3" spans="2:9" ht="12" customHeight="1">
      <c r="C3" s="134"/>
    </row>
    <row r="4" spans="2:9" s="24" customFormat="1">
      <c r="C4" s="24" t="s">
        <v>881</v>
      </c>
      <c r="E4" s="24" t="s">
        <v>882</v>
      </c>
    </row>
    <row r="5" spans="2:9" s="24" customFormat="1">
      <c r="C5" s="24" t="s">
        <v>883</v>
      </c>
      <c r="E5" s="24" t="s">
        <v>884</v>
      </c>
    </row>
    <row r="6" spans="2:9">
      <c r="C6" s="24" t="s">
        <v>885</v>
      </c>
      <c r="E6" s="24" t="s">
        <v>884</v>
      </c>
    </row>
    <row r="7" spans="2:9" ht="15">
      <c r="I7" s="135" t="s">
        <v>251</v>
      </c>
    </row>
    <row r="8" spans="2:9" ht="17.25" customHeight="1">
      <c r="B8" s="139">
        <v>1</v>
      </c>
      <c r="C8" s="135" t="s">
        <v>283</v>
      </c>
      <c r="E8" s="136" t="s">
        <v>369</v>
      </c>
      <c r="F8" s="13" t="s">
        <v>946</v>
      </c>
      <c r="I8" s="136" t="s">
        <v>248</v>
      </c>
    </row>
    <row r="9" spans="2:9" ht="15.75" customHeight="1">
      <c r="B9" s="139"/>
      <c r="C9" s="135"/>
      <c r="E9" s="136" t="s">
        <v>97</v>
      </c>
      <c r="F9" s="13" t="s">
        <v>947</v>
      </c>
      <c r="I9" s="137" t="s">
        <v>249</v>
      </c>
    </row>
    <row r="10" spans="2:9" ht="15">
      <c r="E10" s="136" t="s">
        <v>97</v>
      </c>
      <c r="F10" s="13" t="s">
        <v>945</v>
      </c>
      <c r="I10" s="138" t="s">
        <v>250</v>
      </c>
    </row>
    <row r="12" spans="2:9" ht="15">
      <c r="E12" s="307">
        <f>VLOOKUP(E8,'[1]Water Reference'!$C$7:$D$21,2,FALSE)</f>
        <v>40</v>
      </c>
      <c r="F12" s="308" t="s">
        <v>462</v>
      </c>
      <c r="G12" s="309"/>
    </row>
    <row r="13" spans="2:9" s="309" customFormat="1" ht="15">
      <c r="E13" s="137">
        <f>VLOOKUP(E10,'[1]Water Reference'!$C$172:$D$321,2,FALSE)</f>
        <v>0.67672529999999997</v>
      </c>
      <c r="F13" s="13" t="s">
        <v>358</v>
      </c>
      <c r="G13" s="13"/>
    </row>
    <row r="14" spans="2:9">
      <c r="B14" s="31"/>
      <c r="C14" s="31"/>
      <c r="E14" s="310">
        <f>VLOOKUP($E$9,'[1]Water Reference'!$C$51:$H$77,5,FALSE)</f>
        <v>0.2608695652173913</v>
      </c>
      <c r="F14" s="13" t="s">
        <v>463</v>
      </c>
    </row>
    <row r="15" spans="2:9">
      <c r="B15" s="31"/>
      <c r="C15" s="31"/>
      <c r="E15" s="310">
        <f>VLOOKUP($E$9,'[1]Water Reference'!$C$51:$H$77,6,FALSE)</f>
        <v>0.73913043478260876</v>
      </c>
      <c r="F15" s="13" t="s">
        <v>464</v>
      </c>
      <c r="I15" s="40"/>
    </row>
    <row r="16" spans="2:9">
      <c r="B16" s="31"/>
      <c r="C16" s="13" t="str">
        <f t="shared" ref="C16:C25" si="0">CONCATENATE(G16,H16)</f>
        <v>Urban High IncomeSeptic Tank</v>
      </c>
      <c r="D16" s="13">
        <v>1</v>
      </c>
      <c r="E16" s="158">
        <f>VLOOKUP($E$9,'[1]Water Reference'!$C$82:$R$108,D16+6,FALSE)</f>
        <v>0.18</v>
      </c>
      <c r="F16" s="13" t="s">
        <v>491</v>
      </c>
      <c r="G16" s="13" t="s">
        <v>481</v>
      </c>
      <c r="H16" s="13" t="s">
        <v>483</v>
      </c>
    </row>
    <row r="17" spans="2:9">
      <c r="B17" s="31"/>
      <c r="C17" s="13" t="str">
        <f t="shared" si="0"/>
        <v>Urban High IncomeLatrine</v>
      </c>
      <c r="D17" s="13">
        <v>2</v>
      </c>
      <c r="E17" s="158">
        <f>VLOOKUP($E$9,'[1]Water Reference'!$C$82:$R$108,D17+6,FALSE)</f>
        <v>0.08</v>
      </c>
      <c r="F17" s="13" t="s">
        <v>491</v>
      </c>
      <c r="G17" s="13" t="s">
        <v>481</v>
      </c>
      <c r="H17" s="13" t="s">
        <v>489</v>
      </c>
    </row>
    <row r="18" spans="2:9">
      <c r="B18" s="31"/>
      <c r="C18" s="13" t="str">
        <f t="shared" si="0"/>
        <v>Urban High IncomeOther</v>
      </c>
      <c r="D18" s="13">
        <v>3</v>
      </c>
      <c r="E18" s="158">
        <f>VLOOKUP($E$9,'[1]Water Reference'!$C$82:$R$108,D18+6,FALSE)</f>
        <v>0</v>
      </c>
      <c r="F18" s="13" t="s">
        <v>491</v>
      </c>
      <c r="G18" s="13" t="s">
        <v>481</v>
      </c>
      <c r="H18" s="13" t="s">
        <v>281</v>
      </c>
    </row>
    <row r="19" spans="2:9">
      <c r="B19" s="31"/>
      <c r="C19" s="13" t="str">
        <f>CONCATENATE(G19,H19)</f>
        <v>Urban High IncomeSewer</v>
      </c>
      <c r="D19" s="13">
        <v>4</v>
      </c>
      <c r="E19" s="158">
        <f>VLOOKUP($E$9,'[1]Water Reference'!$C$82:$R$108,D19+6,FALSE)</f>
        <v>0.74</v>
      </c>
      <c r="F19" s="13" t="s">
        <v>491</v>
      </c>
      <c r="G19" s="13" t="s">
        <v>481</v>
      </c>
      <c r="H19" s="13" t="s">
        <v>484</v>
      </c>
    </row>
    <row r="20" spans="2:9">
      <c r="B20" s="31"/>
      <c r="C20" s="13" t="str">
        <f>CONCATENATE(G20,H20)</f>
        <v>Urban High IncomeNone</v>
      </c>
      <c r="D20" s="13">
        <v>5</v>
      </c>
      <c r="E20" s="158">
        <f>VLOOKUP($E$9,'[1]Water Reference'!$C$82:$R$108,D20+6,FALSE)</f>
        <v>0</v>
      </c>
      <c r="F20" s="13" t="s">
        <v>491</v>
      </c>
      <c r="G20" s="13" t="s">
        <v>481</v>
      </c>
      <c r="H20" s="13" t="s">
        <v>485</v>
      </c>
    </row>
    <row r="21" spans="2:9">
      <c r="B21" s="31"/>
      <c r="C21" s="13" t="str">
        <f t="shared" si="0"/>
        <v>Urban Low IncomeSeptic Tank</v>
      </c>
      <c r="D21" s="13">
        <v>6</v>
      </c>
      <c r="E21" s="158">
        <f>VLOOKUP($E$9,'[1]Water Reference'!$C$82:$R$108,D21+6,FALSE)</f>
        <v>0.14000000000000001</v>
      </c>
      <c r="F21" s="13" t="s">
        <v>491</v>
      </c>
      <c r="G21" s="13" t="s">
        <v>482</v>
      </c>
      <c r="H21" s="13" t="s">
        <v>483</v>
      </c>
    </row>
    <row r="22" spans="2:9">
      <c r="B22" s="31"/>
      <c r="C22" s="13" t="str">
        <f t="shared" si="0"/>
        <v>Urban Low IncomeLatrine</v>
      </c>
      <c r="D22" s="13">
        <v>7</v>
      </c>
      <c r="E22" s="158">
        <f>VLOOKUP($E$9,'[1]Water Reference'!$C$82:$R$108,D22+6,FALSE)</f>
        <v>0.1</v>
      </c>
      <c r="F22" s="13" t="s">
        <v>491</v>
      </c>
      <c r="G22" s="13" t="s">
        <v>482</v>
      </c>
      <c r="H22" s="13" t="s">
        <v>489</v>
      </c>
    </row>
    <row r="23" spans="2:9">
      <c r="B23" s="31"/>
      <c r="C23" s="13" t="str">
        <f t="shared" si="0"/>
        <v>Urban Low IncomeOther</v>
      </c>
      <c r="D23" s="13">
        <v>8</v>
      </c>
      <c r="E23" s="158">
        <f>VLOOKUP($E$9,'[1]Water Reference'!$C$82:$R$108,D23+6,FALSE)</f>
        <v>0.03</v>
      </c>
      <c r="F23" s="13" t="s">
        <v>491</v>
      </c>
      <c r="G23" s="13" t="s">
        <v>482</v>
      </c>
      <c r="H23" s="13" t="s">
        <v>281</v>
      </c>
    </row>
    <row r="24" spans="2:9">
      <c r="B24" s="31"/>
      <c r="C24" s="13" t="str">
        <f t="shared" si="0"/>
        <v>Urban Low IncomeSewer</v>
      </c>
      <c r="D24" s="13">
        <v>9</v>
      </c>
      <c r="E24" s="158">
        <f>VLOOKUP($E$9,'[1]Water Reference'!$C$82:$R$108,D24+6,FALSE)</f>
        <v>0.53</v>
      </c>
      <c r="F24" s="13" t="s">
        <v>491</v>
      </c>
      <c r="G24" s="13" t="s">
        <v>482</v>
      </c>
      <c r="H24" s="13" t="s">
        <v>484</v>
      </c>
    </row>
    <row r="25" spans="2:9">
      <c r="B25" s="31"/>
      <c r="C25" s="13" t="str">
        <f t="shared" si="0"/>
        <v>Urban Low IncomeNone</v>
      </c>
      <c r="D25" s="13">
        <v>10</v>
      </c>
      <c r="E25" s="158">
        <f>VLOOKUP($E$9,'[1]Water Reference'!$C$82:$R$108,D25+6,FALSE)</f>
        <v>0.2</v>
      </c>
      <c r="F25" s="13" t="s">
        <v>491</v>
      </c>
      <c r="G25" s="13" t="s">
        <v>482</v>
      </c>
      <c r="H25" s="13" t="s">
        <v>485</v>
      </c>
    </row>
    <row r="26" spans="2:9">
      <c r="B26" s="31"/>
      <c r="C26" s="31"/>
      <c r="I26" s="40"/>
    </row>
    <row r="27" spans="2:9" ht="15.75" customHeight="1">
      <c r="B27" s="139">
        <v>2</v>
      </c>
      <c r="C27" s="135" t="s">
        <v>465</v>
      </c>
      <c r="I27" s="40"/>
    </row>
    <row r="28" spans="2:9" ht="15">
      <c r="B28" s="31"/>
      <c r="C28" s="31"/>
      <c r="E28" s="135" t="s">
        <v>466</v>
      </c>
      <c r="F28" s="154">
        <v>2765908</v>
      </c>
    </row>
    <row r="29" spans="2:9">
      <c r="B29" s="31"/>
      <c r="C29" s="31"/>
      <c r="E29" s="13" t="s">
        <v>467</v>
      </c>
      <c r="F29" s="160">
        <v>2010</v>
      </c>
    </row>
    <row r="30" spans="2:9">
      <c r="E30" s="13" t="s">
        <v>468</v>
      </c>
      <c r="F30" s="160" t="s">
        <v>583</v>
      </c>
    </row>
    <row r="31" spans="2:9">
      <c r="E31" s="13" t="s">
        <v>469</v>
      </c>
      <c r="F31" s="160" t="s">
        <v>584</v>
      </c>
    </row>
    <row r="33" spans="2:18" ht="18">
      <c r="B33" s="139">
        <v>3</v>
      </c>
      <c r="C33" s="135" t="s">
        <v>476</v>
      </c>
    </row>
    <row r="34" spans="2:18" s="148" customFormat="1" ht="42.75" customHeight="1">
      <c r="C34" s="311"/>
      <c r="D34" s="212"/>
      <c r="E34" s="142" t="s">
        <v>477</v>
      </c>
      <c r="F34" s="142" t="s">
        <v>478</v>
      </c>
      <c r="G34" s="142" t="s">
        <v>487</v>
      </c>
      <c r="H34" s="142" t="s">
        <v>565</v>
      </c>
      <c r="I34" s="142" t="s">
        <v>563</v>
      </c>
      <c r="J34" s="142" t="s">
        <v>566</v>
      </c>
      <c r="K34" s="142" t="s">
        <v>564</v>
      </c>
      <c r="L34" s="142" t="s">
        <v>568</v>
      </c>
      <c r="M34" s="142" t="s">
        <v>7</v>
      </c>
      <c r="N34" s="142" t="s">
        <v>240</v>
      </c>
      <c r="O34" s="142" t="s">
        <v>220</v>
      </c>
      <c r="P34" s="142" t="s">
        <v>238</v>
      </c>
      <c r="Q34" s="142" t="s">
        <v>219</v>
      </c>
      <c r="R34" s="142" t="s">
        <v>6</v>
      </c>
    </row>
    <row r="35" spans="2:18" s="24" customFormat="1">
      <c r="C35" s="187"/>
      <c r="D35" s="220" t="s">
        <v>243</v>
      </c>
      <c r="E35" s="151"/>
      <c r="F35" s="150" t="s">
        <v>393</v>
      </c>
      <c r="G35" s="312" t="str">
        <f>IF(ISTEXT(F35)=TRUE,(VLOOKUP(F35,'[1]Water Reference'!$C$32:$F$46,4,FALSE)),0)</f>
        <v>None</v>
      </c>
      <c r="H35" s="313">
        <f>IF(ISTEXT(F35)=TRUE,(VLOOKUP(F35,'[1]Water Reference'!$C$31:$D$46,2))*'[1]Water Reference'!$D$26,0)</f>
        <v>0.48</v>
      </c>
      <c r="I35" s="314" t="s">
        <v>509</v>
      </c>
      <c r="J35" s="315">
        <f>IF(ISTEXT(I35)=TRUE,(VLOOKUP(I35,'[1]Water Reference'!$C$115:$G$167,5,FALSE)),0)</f>
        <v>64449</v>
      </c>
      <c r="K35" s="316"/>
      <c r="L35" s="315">
        <f>J35*K35</f>
        <v>0</v>
      </c>
      <c r="M35" s="150">
        <v>2009</v>
      </c>
      <c r="N35" s="317"/>
      <c r="O35" s="317"/>
      <c r="P35" s="318"/>
      <c r="Q35" s="317"/>
      <c r="R35" s="317"/>
    </row>
    <row r="36" spans="2:18">
      <c r="C36" s="31"/>
      <c r="D36" s="31">
        <v>1</v>
      </c>
      <c r="E36" s="160"/>
      <c r="F36" s="150"/>
      <c r="G36" s="319">
        <f>IF(ISTEXT(F36)=TRUE,(VLOOKUP(F36,'[1]Water Reference'!$C$32:$F$46,4,FALSE)),0)</f>
        <v>0</v>
      </c>
      <c r="H36" s="153">
        <f>IF(ISTEXT(F36)=TRUE,(VLOOKUP(F36,'[1]Water Reference'!$C$31:$D$46,2))*'[1]Water Reference'!$D$26,0)</f>
        <v>0</v>
      </c>
      <c r="I36" s="314"/>
      <c r="J36" s="320">
        <f>IF(ISTEXT(I36)=TRUE,(VLOOKUP(I36,'[1]Water Reference'!$C$115:$G$167,5,FALSE)),0)</f>
        <v>0</v>
      </c>
      <c r="K36" s="321"/>
      <c r="L36" s="315">
        <f t="shared" ref="L36:L45" si="1">J36*K36</f>
        <v>0</v>
      </c>
      <c r="M36" s="136"/>
      <c r="N36" s="160"/>
      <c r="O36" s="160"/>
      <c r="P36" s="318"/>
      <c r="Q36" s="160"/>
      <c r="R36" s="160"/>
    </row>
    <row r="37" spans="2:18">
      <c r="C37" s="31"/>
      <c r="D37" s="31">
        <v>2</v>
      </c>
      <c r="E37" s="160"/>
      <c r="F37" s="150"/>
      <c r="G37" s="319">
        <f>IF(ISTEXT(F37)=TRUE,(VLOOKUP(F37,'[1]Water Reference'!$C$32:$F$46,4,FALSE)),0)</f>
        <v>0</v>
      </c>
      <c r="H37" s="153">
        <f>IF(ISTEXT(F37)=TRUE,(VLOOKUP(F37,'[1]Water Reference'!$C$31:$D$46,2))*'[1]Water Reference'!$D$26,0)</f>
        <v>0</v>
      </c>
      <c r="I37" s="314"/>
      <c r="J37" s="320">
        <f>IF(ISTEXT(I37)=TRUE,(VLOOKUP(I37,'[1]Water Reference'!$C$115:$G$167,5,FALSE)),0)</f>
        <v>0</v>
      </c>
      <c r="K37" s="321"/>
      <c r="L37" s="315">
        <f t="shared" si="1"/>
        <v>0</v>
      </c>
      <c r="M37" s="136"/>
      <c r="N37" s="160"/>
      <c r="O37" s="160"/>
      <c r="P37" s="318"/>
      <c r="Q37" s="160"/>
      <c r="R37" s="160"/>
    </row>
    <row r="38" spans="2:18">
      <c r="C38" s="31"/>
      <c r="D38" s="31">
        <v>3</v>
      </c>
      <c r="E38" s="160"/>
      <c r="F38" s="150"/>
      <c r="G38" s="319">
        <f>IF(ISTEXT(F38)=TRUE,(VLOOKUP(F38,'[1]Water Reference'!$C$32:$F$46,4,FALSE)),0)</f>
        <v>0</v>
      </c>
      <c r="H38" s="153">
        <f>IF(ISTEXT(F38)=TRUE,(VLOOKUP(F38,'[1]Water Reference'!$C$31:$D$46,2))*'[1]Water Reference'!$D$26,0)</f>
        <v>0</v>
      </c>
      <c r="I38" s="314"/>
      <c r="J38" s="320">
        <f>IF(ISTEXT(I38)=TRUE,(VLOOKUP(I38,'[1]Water Reference'!$C$115:$G$167,5,FALSE)),0)</f>
        <v>0</v>
      </c>
      <c r="K38" s="321"/>
      <c r="L38" s="315">
        <f t="shared" si="1"/>
        <v>0</v>
      </c>
      <c r="M38" s="136"/>
      <c r="N38" s="160"/>
      <c r="O38" s="160"/>
      <c r="P38" s="318"/>
      <c r="Q38" s="160"/>
      <c r="R38" s="160"/>
    </row>
    <row r="39" spans="2:18">
      <c r="C39" s="31"/>
      <c r="D39" s="31">
        <v>4</v>
      </c>
      <c r="E39" s="160"/>
      <c r="F39" s="150"/>
      <c r="G39" s="319">
        <f>IF(ISTEXT(F39)=TRUE,(VLOOKUP(F39,'[1]Water Reference'!$C$32:$F$46,4,FALSE)),0)</f>
        <v>0</v>
      </c>
      <c r="H39" s="153">
        <f>IF(ISTEXT(F39)=TRUE,(VLOOKUP(F39,'[1]Water Reference'!$C$31:$D$46,2))*'[1]Water Reference'!$D$26,0)</f>
        <v>0</v>
      </c>
      <c r="I39" s="314"/>
      <c r="J39" s="320">
        <f>IF(ISTEXT(I39)=TRUE,(VLOOKUP(I39,'[1]Water Reference'!$C$115:$G$167,5,FALSE)),0)</f>
        <v>0</v>
      </c>
      <c r="K39" s="321"/>
      <c r="L39" s="315">
        <f t="shared" si="1"/>
        <v>0</v>
      </c>
      <c r="M39" s="136"/>
      <c r="N39" s="160"/>
      <c r="O39" s="160"/>
      <c r="P39" s="318"/>
      <c r="Q39" s="160"/>
      <c r="R39" s="160"/>
    </row>
    <row r="40" spans="2:18">
      <c r="C40" s="31"/>
      <c r="D40" s="31">
        <v>5</v>
      </c>
      <c r="E40" s="160"/>
      <c r="F40" s="150"/>
      <c r="G40" s="319">
        <f>IF(ISTEXT(F40)=TRUE,(VLOOKUP(F40,'[1]Water Reference'!$C$32:$F$46,4,FALSE)),0)</f>
        <v>0</v>
      </c>
      <c r="H40" s="153">
        <f>IF(ISTEXT(F40)=TRUE,(VLOOKUP(F40,'[1]Water Reference'!$C$31:$D$46,2))*'[1]Water Reference'!$D$26,0)</f>
        <v>0</v>
      </c>
      <c r="I40" s="314"/>
      <c r="J40" s="320">
        <f>IF(ISTEXT(I40)=TRUE,(VLOOKUP(I40,'[1]Water Reference'!$C$115:$G$167,5,FALSE)),0)</f>
        <v>0</v>
      </c>
      <c r="K40" s="321"/>
      <c r="L40" s="315">
        <f t="shared" si="1"/>
        <v>0</v>
      </c>
      <c r="M40" s="136"/>
      <c r="N40" s="160"/>
      <c r="O40" s="160"/>
      <c r="P40" s="318"/>
      <c r="Q40" s="160"/>
      <c r="R40" s="160"/>
    </row>
    <row r="41" spans="2:18">
      <c r="C41" s="31"/>
      <c r="D41" s="31">
        <v>6</v>
      </c>
      <c r="E41" s="160"/>
      <c r="F41" s="150"/>
      <c r="G41" s="319">
        <f>IF(ISTEXT(F41)=TRUE,(VLOOKUP(F41,'[1]Water Reference'!$C$32:$F$46,4,FALSE)),0)</f>
        <v>0</v>
      </c>
      <c r="H41" s="153">
        <f>IF(ISTEXT(F41)=TRUE,(VLOOKUP(F41,'[1]Water Reference'!$C$31:$D$46,2))*'[1]Water Reference'!$D$26,0)</f>
        <v>0</v>
      </c>
      <c r="I41" s="314"/>
      <c r="J41" s="320">
        <f>IF(ISTEXT(I41)=TRUE,(VLOOKUP(I41,'[1]Water Reference'!$C$115:$G$167,5,FALSE)),0)</f>
        <v>0</v>
      </c>
      <c r="K41" s="321"/>
      <c r="L41" s="315">
        <f t="shared" si="1"/>
        <v>0</v>
      </c>
      <c r="M41" s="136"/>
      <c r="N41" s="160"/>
      <c r="O41" s="160"/>
      <c r="P41" s="318"/>
      <c r="Q41" s="160"/>
      <c r="R41" s="160"/>
    </row>
    <row r="42" spans="2:18">
      <c r="C42" s="31"/>
      <c r="D42" s="31">
        <v>7</v>
      </c>
      <c r="E42" s="160"/>
      <c r="F42" s="150"/>
      <c r="G42" s="319">
        <f>IF(ISTEXT(F42)=TRUE,(VLOOKUP(F42,'[1]Water Reference'!$C$32:$F$46,4,FALSE)),0)</f>
        <v>0</v>
      </c>
      <c r="H42" s="153">
        <f>IF(ISTEXT(F42)=TRUE,(VLOOKUP(F42,'[1]Water Reference'!$C$31:$D$46,2))*'[1]Water Reference'!$D$26,0)</f>
        <v>0</v>
      </c>
      <c r="I42" s="314"/>
      <c r="J42" s="320">
        <f>IF(ISTEXT(I42)=TRUE,(VLOOKUP(I42,'[1]Water Reference'!$C$115:$G$167,5,FALSE)),0)</f>
        <v>0</v>
      </c>
      <c r="K42" s="321"/>
      <c r="L42" s="315">
        <f t="shared" si="1"/>
        <v>0</v>
      </c>
      <c r="M42" s="136"/>
      <c r="N42" s="160"/>
      <c r="O42" s="160"/>
      <c r="P42" s="318"/>
      <c r="Q42" s="160"/>
      <c r="R42" s="160"/>
    </row>
    <row r="43" spans="2:18">
      <c r="C43" s="31"/>
      <c r="D43" s="31">
        <v>8</v>
      </c>
      <c r="E43" s="160"/>
      <c r="F43" s="150"/>
      <c r="G43" s="319">
        <f>IF(ISTEXT(F43)=TRUE,(VLOOKUP(F43,'[1]Water Reference'!$C$32:$F$46,4,FALSE)),0)</f>
        <v>0</v>
      </c>
      <c r="H43" s="153">
        <f>IF(ISTEXT(F43)=TRUE,(VLOOKUP(F43,'[1]Water Reference'!$C$31:$D$46,2))*'[1]Water Reference'!$D$26,0)</f>
        <v>0</v>
      </c>
      <c r="I43" s="314"/>
      <c r="J43" s="320">
        <f>IF(ISTEXT(I43)=TRUE,(VLOOKUP(I43,'[1]Water Reference'!$C$115:$G$167,5,FALSE)),0)</f>
        <v>0</v>
      </c>
      <c r="K43" s="321"/>
      <c r="L43" s="315">
        <f t="shared" si="1"/>
        <v>0</v>
      </c>
      <c r="M43" s="136"/>
      <c r="N43" s="160"/>
      <c r="O43" s="160"/>
      <c r="P43" s="318"/>
      <c r="Q43" s="160"/>
      <c r="R43" s="160"/>
    </row>
    <row r="44" spans="2:18">
      <c r="C44" s="31"/>
      <c r="D44" s="31">
        <v>9</v>
      </c>
      <c r="E44" s="160"/>
      <c r="F44" s="150"/>
      <c r="G44" s="319">
        <f>IF(ISTEXT(F44)=TRUE,(VLOOKUP(F44,'[1]Water Reference'!$C$32:$F$46,4,FALSE)),0)</f>
        <v>0</v>
      </c>
      <c r="H44" s="153">
        <f>IF(ISTEXT(F44)=TRUE,(VLOOKUP(F44,'[1]Water Reference'!$C$31:$D$46,2))*'[1]Water Reference'!$D$26,0)</f>
        <v>0</v>
      </c>
      <c r="I44" s="314"/>
      <c r="J44" s="320">
        <f>IF(ISTEXT(I44)=TRUE,(VLOOKUP(I44,'[1]Water Reference'!$C$115:$G$167,5,FALSE)),0)</f>
        <v>0</v>
      </c>
      <c r="K44" s="321"/>
      <c r="L44" s="315">
        <f t="shared" si="1"/>
        <v>0</v>
      </c>
      <c r="M44" s="136"/>
      <c r="N44" s="160"/>
      <c r="O44" s="160"/>
      <c r="P44" s="318"/>
      <c r="Q44" s="160"/>
      <c r="R44" s="160"/>
    </row>
    <row r="45" spans="2:18">
      <c r="C45" s="31"/>
      <c r="D45" s="31">
        <v>10</v>
      </c>
      <c r="E45" s="166"/>
      <c r="F45" s="171"/>
      <c r="G45" s="240">
        <f>IF(ISTEXT(F45)=TRUE,(VLOOKUP(F45,'[1]Water Reference'!$C$32:$F$46,4,FALSE)),0)</f>
        <v>0</v>
      </c>
      <c r="H45" s="322">
        <f>IF(ISTEXT(F45)=TRUE,(VLOOKUP(F45,'[1]Water Reference'!$C$31:$D$46,2))*'[1]Water Reference'!$D$26,0)</f>
        <v>0</v>
      </c>
      <c r="I45" s="323"/>
      <c r="J45" s="324">
        <f>IF(ISTEXT(I45)=TRUE,(VLOOKUP(I45,'[1]Water Reference'!$C$115:$G$167,5,FALSE)),0)</f>
        <v>0</v>
      </c>
      <c r="K45" s="325"/>
      <c r="L45" s="326">
        <f t="shared" si="1"/>
        <v>0</v>
      </c>
      <c r="M45" s="165"/>
      <c r="N45" s="166"/>
      <c r="O45" s="166"/>
      <c r="P45" s="327"/>
      <c r="Q45" s="166"/>
      <c r="R45" s="166"/>
    </row>
    <row r="47" spans="2:18" ht="18">
      <c r="B47" s="139">
        <v>4</v>
      </c>
      <c r="C47" s="223" t="s">
        <v>475</v>
      </c>
    </row>
    <row r="48" spans="2:18" s="31" customFormat="1" ht="15">
      <c r="E48" s="328" t="s">
        <v>470</v>
      </c>
      <c r="F48" s="328" t="s">
        <v>471</v>
      </c>
      <c r="G48" s="242" t="s">
        <v>472</v>
      </c>
      <c r="H48" s="234" t="s">
        <v>473</v>
      </c>
      <c r="I48" s="328" t="s">
        <v>474</v>
      </c>
    </row>
    <row r="49" spans="2:14" s="31" customFormat="1" ht="15">
      <c r="E49" s="329">
        <f>F28</f>
        <v>2765908</v>
      </c>
      <c r="F49" s="144">
        <f>E12/1000</f>
        <v>0.04</v>
      </c>
      <c r="G49" s="330">
        <v>365</v>
      </c>
      <c r="H49" s="144">
        <f>AVERAGE(1,1.25)</f>
        <v>1.125</v>
      </c>
      <c r="I49" s="331">
        <f>E49*F49*G49*H49</f>
        <v>45430038.900000006</v>
      </c>
    </row>
    <row r="50" spans="2:14" s="31" customFormat="1"/>
    <row r="51" spans="2:14" ht="18">
      <c r="B51" s="139">
        <v>5</v>
      </c>
      <c r="C51" s="223" t="s">
        <v>497</v>
      </c>
    </row>
    <row r="52" spans="2:14" ht="18">
      <c r="B52" s="139"/>
      <c r="C52" s="223"/>
      <c r="E52" s="135" t="s">
        <v>486</v>
      </c>
      <c r="I52" s="31"/>
      <c r="J52" s="31"/>
      <c r="K52" s="31"/>
      <c r="L52" s="31"/>
      <c r="M52" s="31"/>
    </row>
    <row r="53" spans="2:14" ht="15">
      <c r="E53" s="234"/>
      <c r="F53" s="328" t="s">
        <v>498</v>
      </c>
      <c r="G53" s="328" t="s">
        <v>480</v>
      </c>
      <c r="H53" s="328" t="s">
        <v>490</v>
      </c>
      <c r="I53" s="332" t="s">
        <v>499</v>
      </c>
      <c r="J53" s="223"/>
      <c r="K53" s="223"/>
      <c r="L53" s="223"/>
      <c r="M53" s="31"/>
      <c r="N53" s="31"/>
    </row>
    <row r="54" spans="2:14" ht="15">
      <c r="C54" s="220"/>
      <c r="D54" s="220" t="s">
        <v>243</v>
      </c>
      <c r="E54" s="137" t="s">
        <v>481</v>
      </c>
      <c r="F54" s="333">
        <f>$E$14</f>
        <v>0.2608695652173913</v>
      </c>
      <c r="G54" s="334">
        <f>IF(VLOOKUP(D54,$D$35:$H$45,5,FALSE)&gt;0,VLOOKUP(D54,$D$35:$H$45,5,FALSE),0)</f>
        <v>0.48</v>
      </c>
      <c r="H54" s="137">
        <f>VLOOKUP(CONCATENATE(E54,$G$35),$C$12:$E$25,3,FALSE)</f>
        <v>0</v>
      </c>
      <c r="I54" s="335">
        <f>F54*G54*H54</f>
        <v>0</v>
      </c>
      <c r="J54" s="223"/>
      <c r="K54" s="223"/>
      <c r="L54" s="223"/>
      <c r="M54" s="31"/>
      <c r="N54" s="31"/>
    </row>
    <row r="55" spans="2:14" ht="15">
      <c r="C55" s="220"/>
      <c r="D55" s="220" t="s">
        <v>243</v>
      </c>
      <c r="E55" s="137" t="s">
        <v>482</v>
      </c>
      <c r="F55" s="333">
        <f>$E$15</f>
        <v>0.73913043478260876</v>
      </c>
      <c r="G55" s="334">
        <f t="shared" ref="G55:G75" si="2">IF(VLOOKUP(D55,$D$35:$H$45,5,FALSE)&gt;0,VLOOKUP(D55,$D$35:$H$45,5,FALSE),0)</f>
        <v>0.48</v>
      </c>
      <c r="H55" s="137">
        <f>VLOOKUP(CONCATENATE(E55,$G$35),$C$12:$E$25,3,FALSE)</f>
        <v>0.2</v>
      </c>
      <c r="I55" s="335">
        <f>F55*G55*H55</f>
        <v>7.0956521739130446E-2</v>
      </c>
      <c r="J55" s="223"/>
      <c r="K55" s="223"/>
      <c r="L55" s="223"/>
      <c r="M55" s="31"/>
      <c r="N55" s="31"/>
    </row>
    <row r="56" spans="2:14" ht="15">
      <c r="D56" s="13">
        <v>1</v>
      </c>
      <c r="E56" s="137" t="s">
        <v>481</v>
      </c>
      <c r="F56" s="333">
        <f>$E$14</f>
        <v>0.2608695652173913</v>
      </c>
      <c r="G56" s="334">
        <f t="shared" si="2"/>
        <v>0</v>
      </c>
      <c r="H56" s="137">
        <f t="shared" ref="H56:H75" si="3">VLOOKUP(CONCATENATE(E56,$G$35),$C$12:$E$25,3,FALSE)</f>
        <v>0</v>
      </c>
      <c r="I56" s="336">
        <f t="shared" ref="I56:I75" si="4">F56*G56*H56</f>
        <v>0</v>
      </c>
      <c r="J56" s="31"/>
      <c r="K56" s="31"/>
      <c r="L56" s="31"/>
      <c r="M56" s="31"/>
      <c r="N56" s="31"/>
    </row>
    <row r="57" spans="2:14" ht="15">
      <c r="D57" s="13">
        <v>1</v>
      </c>
      <c r="E57" s="137" t="s">
        <v>482</v>
      </c>
      <c r="F57" s="333">
        <f>$E$15</f>
        <v>0.73913043478260876</v>
      </c>
      <c r="G57" s="334">
        <f t="shared" si="2"/>
        <v>0</v>
      </c>
      <c r="H57" s="137">
        <f t="shared" si="3"/>
        <v>0.2</v>
      </c>
      <c r="I57" s="336">
        <f t="shared" si="4"/>
        <v>0</v>
      </c>
      <c r="J57" s="31"/>
      <c r="K57" s="31"/>
      <c r="L57" s="31"/>
      <c r="M57" s="31"/>
      <c r="N57" s="31"/>
    </row>
    <row r="58" spans="2:14" ht="15">
      <c r="D58" s="13">
        <v>2</v>
      </c>
      <c r="E58" s="137" t="s">
        <v>481</v>
      </c>
      <c r="F58" s="333">
        <f>$E$14</f>
        <v>0.2608695652173913</v>
      </c>
      <c r="G58" s="334">
        <f t="shared" si="2"/>
        <v>0</v>
      </c>
      <c r="H58" s="137">
        <f t="shared" si="3"/>
        <v>0</v>
      </c>
      <c r="I58" s="336">
        <f t="shared" si="4"/>
        <v>0</v>
      </c>
      <c r="J58" s="31"/>
      <c r="K58" s="31"/>
      <c r="L58" s="31"/>
      <c r="M58" s="31"/>
      <c r="N58" s="31"/>
    </row>
    <row r="59" spans="2:14" ht="15">
      <c r="D59" s="13">
        <v>2</v>
      </c>
      <c r="E59" s="137" t="s">
        <v>482</v>
      </c>
      <c r="F59" s="333">
        <f>$E$15</f>
        <v>0.73913043478260876</v>
      </c>
      <c r="G59" s="334">
        <f t="shared" si="2"/>
        <v>0</v>
      </c>
      <c r="H59" s="137">
        <f t="shared" si="3"/>
        <v>0.2</v>
      </c>
      <c r="I59" s="336">
        <f t="shared" si="4"/>
        <v>0</v>
      </c>
      <c r="J59" s="31"/>
      <c r="K59" s="31"/>
      <c r="L59" s="31"/>
      <c r="M59" s="31"/>
      <c r="N59" s="31"/>
    </row>
    <row r="60" spans="2:14" ht="15">
      <c r="D60" s="13">
        <v>3</v>
      </c>
      <c r="E60" s="137" t="s">
        <v>481</v>
      </c>
      <c r="F60" s="333">
        <f>$E$14</f>
        <v>0.2608695652173913</v>
      </c>
      <c r="G60" s="334">
        <f t="shared" si="2"/>
        <v>0</v>
      </c>
      <c r="H60" s="137">
        <f t="shared" si="3"/>
        <v>0</v>
      </c>
      <c r="I60" s="336">
        <f t="shared" si="4"/>
        <v>0</v>
      </c>
      <c r="J60" s="31"/>
      <c r="K60" s="31"/>
      <c r="L60" s="31"/>
      <c r="M60" s="31"/>
      <c r="N60" s="31"/>
    </row>
    <row r="61" spans="2:14" ht="15">
      <c r="D61" s="13">
        <v>3</v>
      </c>
      <c r="E61" s="137" t="s">
        <v>482</v>
      </c>
      <c r="F61" s="333">
        <f>$E$15</f>
        <v>0.73913043478260876</v>
      </c>
      <c r="G61" s="334">
        <f t="shared" si="2"/>
        <v>0</v>
      </c>
      <c r="H61" s="137">
        <f t="shared" si="3"/>
        <v>0.2</v>
      </c>
      <c r="I61" s="336">
        <f t="shared" si="4"/>
        <v>0</v>
      </c>
      <c r="J61" s="31"/>
      <c r="K61" s="31"/>
      <c r="L61" s="31"/>
      <c r="M61" s="31"/>
      <c r="N61" s="31"/>
    </row>
    <row r="62" spans="2:14" ht="15">
      <c r="D62" s="13">
        <v>4</v>
      </c>
      <c r="E62" s="137" t="s">
        <v>481</v>
      </c>
      <c r="F62" s="333">
        <f>$E$14</f>
        <v>0.2608695652173913</v>
      </c>
      <c r="G62" s="334">
        <f t="shared" si="2"/>
        <v>0</v>
      </c>
      <c r="H62" s="137">
        <f t="shared" si="3"/>
        <v>0</v>
      </c>
      <c r="I62" s="336">
        <f t="shared" si="4"/>
        <v>0</v>
      </c>
      <c r="J62" s="31"/>
      <c r="K62" s="31"/>
      <c r="L62" s="31"/>
      <c r="M62" s="31"/>
      <c r="N62" s="31"/>
    </row>
    <row r="63" spans="2:14" ht="15">
      <c r="D63" s="13">
        <v>4</v>
      </c>
      <c r="E63" s="137" t="s">
        <v>482</v>
      </c>
      <c r="F63" s="333">
        <f>$E$15</f>
        <v>0.73913043478260876</v>
      </c>
      <c r="G63" s="334">
        <f t="shared" si="2"/>
        <v>0</v>
      </c>
      <c r="H63" s="137">
        <f t="shared" si="3"/>
        <v>0.2</v>
      </c>
      <c r="I63" s="336">
        <f t="shared" si="4"/>
        <v>0</v>
      </c>
      <c r="J63" s="31"/>
      <c r="K63" s="31"/>
      <c r="L63" s="31"/>
      <c r="M63" s="31"/>
      <c r="N63" s="31"/>
    </row>
    <row r="64" spans="2:14" ht="15">
      <c r="D64" s="13">
        <v>5</v>
      </c>
      <c r="E64" s="137" t="s">
        <v>481</v>
      </c>
      <c r="F64" s="333">
        <f>$E$14</f>
        <v>0.2608695652173913</v>
      </c>
      <c r="G64" s="334">
        <f t="shared" si="2"/>
        <v>0</v>
      </c>
      <c r="H64" s="137">
        <f t="shared" si="3"/>
        <v>0</v>
      </c>
      <c r="I64" s="336">
        <f t="shared" si="4"/>
        <v>0</v>
      </c>
      <c r="J64" s="31"/>
      <c r="K64" s="31"/>
      <c r="L64" s="31"/>
      <c r="M64" s="31"/>
      <c r="N64" s="31"/>
    </row>
    <row r="65" spans="4:14" ht="15">
      <c r="D65" s="13">
        <v>5</v>
      </c>
      <c r="E65" s="137" t="s">
        <v>482</v>
      </c>
      <c r="F65" s="333">
        <f>$E$15</f>
        <v>0.73913043478260876</v>
      </c>
      <c r="G65" s="334">
        <f t="shared" si="2"/>
        <v>0</v>
      </c>
      <c r="H65" s="137">
        <f t="shared" si="3"/>
        <v>0.2</v>
      </c>
      <c r="I65" s="336">
        <f t="shared" si="4"/>
        <v>0</v>
      </c>
      <c r="J65" s="31"/>
      <c r="K65" s="31"/>
      <c r="L65" s="31"/>
      <c r="M65" s="31"/>
      <c r="N65" s="31"/>
    </row>
    <row r="66" spans="4:14" ht="15">
      <c r="D66" s="13">
        <v>6</v>
      </c>
      <c r="E66" s="137" t="s">
        <v>481</v>
      </c>
      <c r="F66" s="333">
        <f>$E$14</f>
        <v>0.2608695652173913</v>
      </c>
      <c r="G66" s="334">
        <f t="shared" si="2"/>
        <v>0</v>
      </c>
      <c r="H66" s="137">
        <f t="shared" si="3"/>
        <v>0</v>
      </c>
      <c r="I66" s="336">
        <f t="shared" si="4"/>
        <v>0</v>
      </c>
      <c r="J66" s="31"/>
      <c r="K66" s="31"/>
      <c r="L66" s="31"/>
      <c r="M66" s="31"/>
      <c r="N66" s="31"/>
    </row>
    <row r="67" spans="4:14" ht="15">
      <c r="D67" s="13">
        <v>6</v>
      </c>
      <c r="E67" s="137" t="s">
        <v>482</v>
      </c>
      <c r="F67" s="333">
        <f>$E$15</f>
        <v>0.73913043478260876</v>
      </c>
      <c r="G67" s="334">
        <f t="shared" si="2"/>
        <v>0</v>
      </c>
      <c r="H67" s="137">
        <f t="shared" si="3"/>
        <v>0.2</v>
      </c>
      <c r="I67" s="336">
        <f t="shared" si="4"/>
        <v>0</v>
      </c>
      <c r="J67" s="31"/>
      <c r="K67" s="31"/>
      <c r="L67" s="31"/>
      <c r="M67" s="31"/>
      <c r="N67" s="31"/>
    </row>
    <row r="68" spans="4:14" ht="15">
      <c r="D68" s="13">
        <v>7</v>
      </c>
      <c r="E68" s="137" t="s">
        <v>481</v>
      </c>
      <c r="F68" s="333">
        <f>$E$14</f>
        <v>0.2608695652173913</v>
      </c>
      <c r="G68" s="334">
        <f t="shared" si="2"/>
        <v>0</v>
      </c>
      <c r="H68" s="137">
        <f t="shared" si="3"/>
        <v>0</v>
      </c>
      <c r="I68" s="336">
        <f t="shared" si="4"/>
        <v>0</v>
      </c>
      <c r="J68" s="31"/>
      <c r="K68" s="31"/>
      <c r="L68" s="31"/>
      <c r="M68" s="31"/>
      <c r="N68" s="31"/>
    </row>
    <row r="69" spans="4:14" ht="15">
      <c r="D69" s="13">
        <v>7</v>
      </c>
      <c r="E69" s="137" t="s">
        <v>482</v>
      </c>
      <c r="F69" s="333">
        <f>$E$15</f>
        <v>0.73913043478260876</v>
      </c>
      <c r="G69" s="334">
        <f t="shared" si="2"/>
        <v>0</v>
      </c>
      <c r="H69" s="137">
        <f t="shared" si="3"/>
        <v>0.2</v>
      </c>
      <c r="I69" s="336">
        <f t="shared" si="4"/>
        <v>0</v>
      </c>
      <c r="J69" s="31"/>
      <c r="K69" s="31"/>
      <c r="L69" s="31"/>
      <c r="M69" s="31"/>
      <c r="N69" s="31"/>
    </row>
    <row r="70" spans="4:14" ht="15">
      <c r="D70" s="13">
        <v>8</v>
      </c>
      <c r="E70" s="137" t="s">
        <v>481</v>
      </c>
      <c r="F70" s="333">
        <f>$E$14</f>
        <v>0.2608695652173913</v>
      </c>
      <c r="G70" s="334">
        <f t="shared" si="2"/>
        <v>0</v>
      </c>
      <c r="H70" s="137">
        <f t="shared" si="3"/>
        <v>0</v>
      </c>
      <c r="I70" s="336">
        <f t="shared" si="4"/>
        <v>0</v>
      </c>
      <c r="J70" s="31"/>
      <c r="K70" s="31"/>
      <c r="L70" s="31"/>
      <c r="M70" s="31"/>
      <c r="N70" s="31"/>
    </row>
    <row r="71" spans="4:14" ht="15">
      <c r="D71" s="13">
        <v>8</v>
      </c>
      <c r="E71" s="137" t="s">
        <v>482</v>
      </c>
      <c r="F71" s="333">
        <f>$E$15</f>
        <v>0.73913043478260876</v>
      </c>
      <c r="G71" s="334">
        <f t="shared" si="2"/>
        <v>0</v>
      </c>
      <c r="H71" s="137">
        <f t="shared" si="3"/>
        <v>0.2</v>
      </c>
      <c r="I71" s="336">
        <f t="shared" si="4"/>
        <v>0</v>
      </c>
      <c r="J71" s="31"/>
      <c r="K71" s="31"/>
      <c r="L71" s="31"/>
      <c r="M71" s="31"/>
      <c r="N71" s="31"/>
    </row>
    <row r="72" spans="4:14" ht="15">
      <c r="D72" s="13">
        <v>9</v>
      </c>
      <c r="E72" s="137" t="s">
        <v>481</v>
      </c>
      <c r="F72" s="333">
        <f>$E$14</f>
        <v>0.2608695652173913</v>
      </c>
      <c r="G72" s="334">
        <f t="shared" si="2"/>
        <v>0</v>
      </c>
      <c r="H72" s="137">
        <f t="shared" si="3"/>
        <v>0</v>
      </c>
      <c r="I72" s="336">
        <f t="shared" si="4"/>
        <v>0</v>
      </c>
      <c r="J72" s="31"/>
      <c r="K72" s="31"/>
      <c r="L72" s="31"/>
      <c r="M72" s="31"/>
      <c r="N72" s="31"/>
    </row>
    <row r="73" spans="4:14" ht="15">
      <c r="D73" s="13">
        <v>9</v>
      </c>
      <c r="E73" s="137" t="s">
        <v>482</v>
      </c>
      <c r="F73" s="333">
        <f>$E$15</f>
        <v>0.73913043478260876</v>
      </c>
      <c r="G73" s="334">
        <f t="shared" si="2"/>
        <v>0</v>
      </c>
      <c r="H73" s="137">
        <f t="shared" si="3"/>
        <v>0.2</v>
      </c>
      <c r="I73" s="336">
        <f t="shared" si="4"/>
        <v>0</v>
      </c>
      <c r="J73" s="31"/>
      <c r="K73" s="31"/>
      <c r="L73" s="31"/>
      <c r="M73" s="31"/>
      <c r="N73" s="31"/>
    </row>
    <row r="74" spans="4:14" ht="15">
      <c r="D74" s="13">
        <v>10</v>
      </c>
      <c r="E74" s="137" t="s">
        <v>481</v>
      </c>
      <c r="F74" s="333">
        <f>$E$14</f>
        <v>0.2608695652173913</v>
      </c>
      <c r="G74" s="334">
        <f t="shared" si="2"/>
        <v>0</v>
      </c>
      <c r="H74" s="137">
        <f t="shared" si="3"/>
        <v>0</v>
      </c>
      <c r="I74" s="336">
        <f t="shared" si="4"/>
        <v>0</v>
      </c>
      <c r="J74" s="31"/>
      <c r="K74" s="31"/>
      <c r="L74" s="31"/>
      <c r="M74" s="31"/>
      <c r="N74" s="31"/>
    </row>
    <row r="75" spans="4:14" ht="15">
      <c r="D75" s="13">
        <v>10</v>
      </c>
      <c r="E75" s="167" t="s">
        <v>482</v>
      </c>
      <c r="F75" s="337">
        <f>$E$15</f>
        <v>0.73913043478260876</v>
      </c>
      <c r="G75" s="334">
        <f t="shared" si="2"/>
        <v>0</v>
      </c>
      <c r="H75" s="167">
        <f t="shared" si="3"/>
        <v>0.2</v>
      </c>
      <c r="I75" s="338">
        <f t="shared" si="4"/>
        <v>0</v>
      </c>
      <c r="J75" s="31"/>
      <c r="K75" s="31"/>
      <c r="L75" s="31"/>
      <c r="M75" s="31"/>
      <c r="N75" s="31"/>
    </row>
    <row r="76" spans="4:14" ht="15">
      <c r="E76" s="234" t="s">
        <v>252</v>
      </c>
      <c r="F76" s="274"/>
      <c r="G76" s="274"/>
      <c r="H76" s="274"/>
      <c r="I76" s="339">
        <f>SUM(I54:I75)</f>
        <v>7.0956521739130446E-2</v>
      </c>
      <c r="J76" s="31"/>
      <c r="K76" s="340"/>
      <c r="L76" s="223"/>
      <c r="M76" s="31"/>
      <c r="N76" s="31"/>
    </row>
    <row r="77" spans="4:14">
      <c r="J77" s="31"/>
      <c r="K77" s="31"/>
      <c r="L77" s="31"/>
      <c r="M77" s="31"/>
      <c r="N77" s="31"/>
    </row>
    <row r="78" spans="4:14" ht="15">
      <c r="E78" s="135" t="s">
        <v>492</v>
      </c>
      <c r="J78" s="31"/>
      <c r="K78" s="31"/>
      <c r="L78" s="31"/>
      <c r="M78" s="31"/>
      <c r="N78" s="31"/>
    </row>
    <row r="79" spans="4:14" s="26" customFormat="1" ht="45">
      <c r="E79" s="142" t="s">
        <v>495</v>
      </c>
      <c r="F79" s="142" t="s">
        <v>501</v>
      </c>
      <c r="G79" s="142" t="s">
        <v>496</v>
      </c>
      <c r="H79" s="142" t="s">
        <v>503</v>
      </c>
      <c r="J79" s="194"/>
      <c r="K79" s="194"/>
      <c r="L79" s="194"/>
      <c r="M79" s="194"/>
      <c r="N79" s="194"/>
    </row>
    <row r="80" spans="4:14">
      <c r="E80" s="341">
        <f>I76</f>
        <v>7.0956521739130446E-2</v>
      </c>
      <c r="F80" s="342">
        <f>I49</f>
        <v>45430038.900000006</v>
      </c>
      <c r="G80" s="144">
        <v>21</v>
      </c>
      <c r="H80" s="342">
        <f>(E80*F80*G80)/1000</f>
        <v>67694.708399165247</v>
      </c>
      <c r="J80" s="31"/>
      <c r="K80" s="31"/>
      <c r="L80" s="31"/>
      <c r="M80" s="31"/>
      <c r="N80" s="31"/>
    </row>
    <row r="81" spans="2:14">
      <c r="E81" s="343"/>
      <c r="F81" s="191"/>
      <c r="J81" s="31"/>
      <c r="K81" s="31"/>
      <c r="L81" s="31"/>
      <c r="M81" s="31"/>
      <c r="N81" s="31"/>
    </row>
    <row r="83" spans="2:14" ht="15.75" customHeight="1">
      <c r="B83" s="139">
        <v>6</v>
      </c>
      <c r="C83" s="223" t="s">
        <v>886</v>
      </c>
    </row>
    <row r="84" spans="2:14" ht="15.75" customHeight="1">
      <c r="B84" s="139"/>
      <c r="C84" s="223"/>
    </row>
    <row r="85" spans="2:14" ht="15.75" customHeight="1">
      <c r="B85" s="139"/>
      <c r="C85" s="223"/>
      <c r="E85" s="135" t="s">
        <v>887</v>
      </c>
      <c r="F85" s="182"/>
      <c r="H85" s="160">
        <v>10000000</v>
      </c>
      <c r="I85" s="13" t="s">
        <v>213</v>
      </c>
    </row>
    <row r="86" spans="2:14" ht="15.75" customHeight="1">
      <c r="B86" s="139"/>
      <c r="C86" s="223"/>
      <c r="E86" s="344" t="s">
        <v>4</v>
      </c>
      <c r="H86" s="160"/>
    </row>
    <row r="87" spans="2:14" ht="15.75" customHeight="1">
      <c r="B87" s="139"/>
      <c r="C87" s="223"/>
      <c r="E87" s="344" t="s">
        <v>468</v>
      </c>
      <c r="H87" s="160"/>
    </row>
    <row r="88" spans="2:14" ht="15.75" customHeight="1">
      <c r="B88" s="139"/>
      <c r="C88" s="223"/>
      <c r="E88" s="344" t="s">
        <v>469</v>
      </c>
      <c r="H88" s="160"/>
    </row>
    <row r="89" spans="2:14" ht="15.75" customHeight="1">
      <c r="B89" s="139"/>
      <c r="C89" s="223"/>
      <c r="E89" s="344" t="s">
        <v>888</v>
      </c>
      <c r="H89" s="136"/>
    </row>
    <row r="90" spans="2:14" ht="15.75" customHeight="1">
      <c r="B90" s="139"/>
      <c r="C90" s="223"/>
      <c r="E90" s="344" t="s">
        <v>889</v>
      </c>
      <c r="H90" s="160"/>
    </row>
    <row r="91" spans="2:14" ht="15.75" customHeight="1">
      <c r="B91" s="139"/>
      <c r="C91" s="223"/>
      <c r="E91" s="344" t="s">
        <v>890</v>
      </c>
      <c r="H91" s="345">
        <f>(H85*E13)/1000</f>
        <v>6767.2529999999997</v>
      </c>
      <c r="I91" s="135" t="s">
        <v>502</v>
      </c>
    </row>
    <row r="92" spans="2:14" ht="15.75" customHeight="1">
      <c r="B92" s="139"/>
      <c r="C92" s="223"/>
      <c r="E92" s="346"/>
      <c r="H92" s="347"/>
      <c r="I92" s="135"/>
    </row>
    <row r="93" spans="2:14" ht="15.75" customHeight="1">
      <c r="B93" s="139"/>
      <c r="C93" s="223"/>
      <c r="E93" s="135" t="s">
        <v>891</v>
      </c>
      <c r="H93" s="348">
        <f>SUM(L35:L45)</f>
        <v>0</v>
      </c>
      <c r="I93" s="135" t="s">
        <v>892</v>
      </c>
    </row>
    <row r="94" spans="2:14" ht="15.75" customHeight="1">
      <c r="B94" s="139"/>
      <c r="C94" s="223"/>
      <c r="E94" s="135"/>
      <c r="H94" s="349"/>
      <c r="I94" s="135"/>
    </row>
    <row r="95" spans="2:14" ht="15.75" customHeight="1">
      <c r="B95" s="139"/>
      <c r="C95" s="223"/>
      <c r="E95" s="135" t="s">
        <v>893</v>
      </c>
      <c r="F95" s="182"/>
      <c r="H95" s="154">
        <v>75534000</v>
      </c>
      <c r="I95" s="13" t="s">
        <v>213</v>
      </c>
    </row>
    <row r="96" spans="2:14" ht="15.75" customHeight="1">
      <c r="B96" s="139"/>
      <c r="C96" s="223"/>
      <c r="E96" s="344" t="s">
        <v>4</v>
      </c>
      <c r="H96" s="160">
        <v>2010</v>
      </c>
    </row>
    <row r="97" spans="2:11" ht="15.75" customHeight="1">
      <c r="B97" s="139"/>
      <c r="C97" s="223"/>
      <c r="E97" s="344" t="s">
        <v>468</v>
      </c>
      <c r="H97" s="160" t="s">
        <v>894</v>
      </c>
    </row>
    <row r="98" spans="2:11" ht="15.75" customHeight="1">
      <c r="B98" s="139"/>
      <c r="C98" s="223"/>
      <c r="E98" s="344" t="s">
        <v>469</v>
      </c>
      <c r="H98" s="160" t="s">
        <v>584</v>
      </c>
    </row>
    <row r="99" spans="2:11" ht="15.75" customHeight="1">
      <c r="B99" s="139"/>
      <c r="C99" s="223"/>
      <c r="E99" s="344" t="s">
        <v>888</v>
      </c>
      <c r="H99" s="136" t="s">
        <v>216</v>
      </c>
    </row>
    <row r="100" spans="2:11" ht="15.75" customHeight="1">
      <c r="B100" s="139"/>
      <c r="C100" s="223"/>
      <c r="E100" s="344" t="s">
        <v>889</v>
      </c>
      <c r="H100" s="160"/>
    </row>
    <row r="101" spans="2:11" ht="15.75" customHeight="1">
      <c r="B101" s="139"/>
      <c r="C101" s="223"/>
      <c r="E101" s="344" t="s">
        <v>890</v>
      </c>
      <c r="H101" s="345">
        <f>(H95*E13)/1000</f>
        <v>51115.768810199996</v>
      </c>
      <c r="I101" s="135" t="s">
        <v>895</v>
      </c>
    </row>
    <row r="102" spans="2:11" ht="15.75" customHeight="1">
      <c r="B102" s="139"/>
      <c r="C102" s="223"/>
      <c r="E102" s="135"/>
      <c r="H102" s="349"/>
      <c r="I102" s="135"/>
    </row>
    <row r="103" spans="2:11" ht="15">
      <c r="E103" s="135" t="s">
        <v>579</v>
      </c>
      <c r="H103" s="350">
        <f>H91+H93+H101</f>
        <v>57883.021810199993</v>
      </c>
      <c r="I103" s="135" t="s">
        <v>895</v>
      </c>
    </row>
    <row r="104" spans="2:11" ht="15.75" customHeight="1">
      <c r="B104" s="139"/>
      <c r="C104" s="223"/>
    </row>
    <row r="105" spans="2:11" ht="14.25" customHeight="1">
      <c r="B105" s="139">
        <v>7</v>
      </c>
      <c r="C105" s="223" t="s">
        <v>500</v>
      </c>
      <c r="E105" s="351"/>
      <c r="F105" s="135"/>
    </row>
    <row r="106" spans="2:11" ht="14.25" customHeight="1">
      <c r="B106" s="139"/>
      <c r="C106" s="223"/>
      <c r="E106" s="135" t="s">
        <v>567</v>
      </c>
      <c r="F106" s="350">
        <f>H80</f>
        <v>67694.708399165247</v>
      </c>
      <c r="G106" s="13" t="s">
        <v>502</v>
      </c>
    </row>
    <row r="107" spans="2:11" ht="14.25" customHeight="1">
      <c r="B107" s="139"/>
      <c r="C107" s="223"/>
      <c r="E107" s="135" t="s">
        <v>896</v>
      </c>
      <c r="F107" s="352">
        <f>H103</f>
        <v>57883.021810199993</v>
      </c>
      <c r="G107" s="13" t="s">
        <v>502</v>
      </c>
    </row>
    <row r="108" spans="2:11" ht="14.25" customHeight="1">
      <c r="B108" s="139"/>
      <c r="C108" s="223"/>
      <c r="E108" s="135" t="s">
        <v>897</v>
      </c>
      <c r="F108" s="350">
        <f>SUM(F106:F107)</f>
        <v>125577.73020936524</v>
      </c>
      <c r="G108" s="13" t="s">
        <v>502</v>
      </c>
    </row>
    <row r="109" spans="2:11" s="35" customFormat="1" ht="14.25" customHeight="1">
      <c r="B109" s="353"/>
      <c r="C109" s="354"/>
    </row>
    <row r="110" spans="2:11" ht="18">
      <c r="C110" s="188" t="s">
        <v>246</v>
      </c>
    </row>
    <row r="112" spans="2:11" ht="15">
      <c r="C112" s="190" t="s">
        <v>459</v>
      </c>
      <c r="E112" s="189" t="s">
        <v>460</v>
      </c>
      <c r="F112" s="189" t="s">
        <v>461</v>
      </c>
      <c r="G112" s="189" t="s">
        <v>479</v>
      </c>
      <c r="I112" s="190" t="s">
        <v>4</v>
      </c>
      <c r="J112" s="189" t="s">
        <v>215</v>
      </c>
      <c r="K112" s="355" t="s">
        <v>197</v>
      </c>
    </row>
    <row r="113" spans="3:11">
      <c r="C113" s="13" t="s">
        <v>183</v>
      </c>
      <c r="E113" s="13" t="s">
        <v>187</v>
      </c>
      <c r="F113" s="13" t="s">
        <v>129</v>
      </c>
      <c r="G113" s="13" t="s">
        <v>393</v>
      </c>
      <c r="I113" s="191">
        <v>1960</v>
      </c>
      <c r="J113" s="13" t="s">
        <v>216</v>
      </c>
      <c r="K113" s="31" t="s">
        <v>507</v>
      </c>
    </row>
    <row r="114" spans="3:11">
      <c r="C114" s="13" t="s">
        <v>184</v>
      </c>
      <c r="E114" s="13" t="s">
        <v>9</v>
      </c>
      <c r="F114" s="13" t="s">
        <v>9</v>
      </c>
      <c r="G114" s="13" t="s">
        <v>394</v>
      </c>
      <c r="I114" s="191">
        <v>1961</v>
      </c>
      <c r="J114" s="13" t="s">
        <v>217</v>
      </c>
      <c r="K114" s="31" t="s">
        <v>508</v>
      </c>
    </row>
    <row r="115" spans="3:11">
      <c r="C115" s="13" t="s">
        <v>185</v>
      </c>
      <c r="E115" s="13" t="s">
        <v>369</v>
      </c>
      <c r="F115" s="13" t="s">
        <v>107</v>
      </c>
      <c r="G115" s="13" t="s">
        <v>395</v>
      </c>
      <c r="I115" s="191">
        <v>1962</v>
      </c>
      <c r="J115" s="13" t="s">
        <v>218</v>
      </c>
      <c r="K115" s="31" t="s">
        <v>509</v>
      </c>
    </row>
    <row r="116" spans="3:11">
      <c r="C116" s="13" t="s">
        <v>186</v>
      </c>
      <c r="E116" s="13" t="s">
        <v>96</v>
      </c>
      <c r="F116" s="13" t="s">
        <v>150</v>
      </c>
      <c r="G116" s="13" t="s">
        <v>398</v>
      </c>
      <c r="I116" s="191">
        <v>1963</v>
      </c>
      <c r="J116" s="13" t="s">
        <v>3</v>
      </c>
      <c r="K116" s="31" t="s">
        <v>510</v>
      </c>
    </row>
    <row r="117" spans="3:11">
      <c r="C117" s="13" t="s">
        <v>187</v>
      </c>
      <c r="E117" s="13" t="s">
        <v>370</v>
      </c>
      <c r="F117" s="13" t="s">
        <v>433</v>
      </c>
      <c r="G117" s="13" t="s">
        <v>399</v>
      </c>
      <c r="I117" s="191">
        <v>1964</v>
      </c>
      <c r="K117" s="31" t="s">
        <v>511</v>
      </c>
    </row>
    <row r="118" spans="3:11">
      <c r="C118" s="13" t="s">
        <v>188</v>
      </c>
      <c r="E118" s="13" t="s">
        <v>104</v>
      </c>
      <c r="F118" s="13" t="s">
        <v>96</v>
      </c>
      <c r="G118" s="13" t="s">
        <v>400</v>
      </c>
      <c r="I118" s="191">
        <v>1965</v>
      </c>
      <c r="K118" s="31" t="s">
        <v>512</v>
      </c>
    </row>
    <row r="119" spans="3:11">
      <c r="C119" s="13" t="s">
        <v>189</v>
      </c>
      <c r="E119" s="13" t="s">
        <v>56</v>
      </c>
      <c r="F119" s="13" t="s">
        <v>97</v>
      </c>
      <c r="G119" s="13" t="s">
        <v>401</v>
      </c>
      <c r="I119" s="191">
        <v>1966</v>
      </c>
      <c r="K119" s="31" t="s">
        <v>513</v>
      </c>
    </row>
    <row r="120" spans="3:11">
      <c r="C120" s="13" t="s">
        <v>190</v>
      </c>
      <c r="E120" s="13" t="s">
        <v>371</v>
      </c>
      <c r="F120" s="13" t="s">
        <v>132</v>
      </c>
      <c r="G120" s="13" t="s">
        <v>402</v>
      </c>
      <c r="I120" s="191">
        <v>1967</v>
      </c>
      <c r="K120" s="31" t="s">
        <v>514</v>
      </c>
    </row>
    <row r="121" spans="3:11">
      <c r="C121" s="13" t="s">
        <v>191</v>
      </c>
      <c r="E121" s="13" t="s">
        <v>74</v>
      </c>
      <c r="F121" s="13" t="s">
        <v>49</v>
      </c>
      <c r="G121" s="13" t="s">
        <v>403</v>
      </c>
      <c r="I121" s="191">
        <v>1968</v>
      </c>
      <c r="K121" s="31" t="s">
        <v>515</v>
      </c>
    </row>
    <row r="122" spans="3:11">
      <c r="C122" s="13" t="s">
        <v>192</v>
      </c>
      <c r="E122" s="13" t="s">
        <v>86</v>
      </c>
      <c r="F122" s="13" t="s">
        <v>104</v>
      </c>
      <c r="G122" s="13" t="s">
        <v>365</v>
      </c>
      <c r="I122" s="191">
        <v>1969</v>
      </c>
      <c r="K122" s="31" t="s">
        <v>516</v>
      </c>
    </row>
    <row r="123" spans="3:11">
      <c r="C123" s="13" t="s">
        <v>40</v>
      </c>
      <c r="E123" s="13" t="s">
        <v>89</v>
      </c>
      <c r="F123" s="13" t="s">
        <v>143</v>
      </c>
      <c r="G123" s="13" t="s">
        <v>404</v>
      </c>
      <c r="I123" s="191">
        <v>1970</v>
      </c>
      <c r="K123" s="31" t="s">
        <v>517</v>
      </c>
    </row>
    <row r="124" spans="3:11">
      <c r="C124" s="13" t="s">
        <v>41</v>
      </c>
      <c r="E124" s="13" t="s">
        <v>102</v>
      </c>
      <c r="F124" s="13" t="s">
        <v>86</v>
      </c>
      <c r="G124" s="13" t="s">
        <v>405</v>
      </c>
      <c r="I124" s="191">
        <v>1971</v>
      </c>
      <c r="K124" s="31" t="s">
        <v>518</v>
      </c>
    </row>
    <row r="125" spans="3:11">
      <c r="C125" s="13" t="s">
        <v>42</v>
      </c>
      <c r="E125" s="13" t="s">
        <v>154</v>
      </c>
      <c r="F125" s="13" t="s">
        <v>166</v>
      </c>
      <c r="G125" s="13" t="s">
        <v>406</v>
      </c>
      <c r="I125" s="191">
        <v>1972</v>
      </c>
      <c r="K125" s="31" t="s">
        <v>519</v>
      </c>
    </row>
    <row r="126" spans="3:11">
      <c r="C126" s="13" t="s">
        <v>43</v>
      </c>
      <c r="E126" s="31" t="s">
        <v>162</v>
      </c>
      <c r="F126" s="13" t="s">
        <v>83</v>
      </c>
      <c r="G126" s="31" t="s">
        <v>407</v>
      </c>
      <c r="I126" s="191">
        <v>1973</v>
      </c>
      <c r="K126" s="31" t="s">
        <v>520</v>
      </c>
    </row>
    <row r="127" spans="3:11">
      <c r="C127" s="13" t="s">
        <v>44</v>
      </c>
      <c r="E127" s="31" t="s">
        <v>168</v>
      </c>
      <c r="F127" s="13" t="s">
        <v>102</v>
      </c>
      <c r="G127" s="31"/>
      <c r="I127" s="191">
        <v>1974</v>
      </c>
      <c r="K127" s="31" t="s">
        <v>521</v>
      </c>
    </row>
    <row r="128" spans="3:11">
      <c r="C128" s="13" t="s">
        <v>45</v>
      </c>
      <c r="E128" s="31"/>
      <c r="F128" s="13" t="s">
        <v>168</v>
      </c>
      <c r="G128" s="31"/>
      <c r="I128" s="191">
        <v>1975</v>
      </c>
      <c r="K128" s="31" t="s">
        <v>522</v>
      </c>
    </row>
    <row r="129" spans="3:11">
      <c r="C129" s="13" t="s">
        <v>46</v>
      </c>
      <c r="F129" s="13" t="s">
        <v>61</v>
      </c>
      <c r="G129" s="31"/>
      <c r="I129" s="191">
        <v>1976</v>
      </c>
      <c r="K129" s="193" t="s">
        <v>523</v>
      </c>
    </row>
    <row r="130" spans="3:11">
      <c r="C130" s="13" t="s">
        <v>47</v>
      </c>
      <c r="F130" s="13" t="s">
        <v>118</v>
      </c>
      <c r="I130" s="191">
        <v>1977</v>
      </c>
      <c r="K130" s="31" t="s">
        <v>524</v>
      </c>
    </row>
    <row r="131" spans="3:11">
      <c r="C131" s="13" t="s">
        <v>48</v>
      </c>
      <c r="F131" s="13" t="s">
        <v>56</v>
      </c>
      <c r="G131" s="31"/>
      <c r="I131" s="191">
        <v>1978</v>
      </c>
      <c r="K131" s="31" t="s">
        <v>525</v>
      </c>
    </row>
    <row r="132" spans="3:11">
      <c r="C132" s="13" t="s">
        <v>49</v>
      </c>
      <c r="F132" s="13" t="s">
        <v>45</v>
      </c>
      <c r="I132" s="191">
        <v>1979</v>
      </c>
      <c r="K132" s="31" t="s">
        <v>526</v>
      </c>
    </row>
    <row r="133" spans="3:11">
      <c r="C133" s="13" t="s">
        <v>50</v>
      </c>
      <c r="F133" s="31" t="s">
        <v>127</v>
      </c>
      <c r="I133" s="191">
        <v>1980</v>
      </c>
      <c r="K133" s="31" t="s">
        <v>527</v>
      </c>
    </row>
    <row r="134" spans="3:11">
      <c r="C134" s="13" t="s">
        <v>51</v>
      </c>
      <c r="I134" s="191">
        <v>1981</v>
      </c>
      <c r="K134" s="193" t="s">
        <v>528</v>
      </c>
    </row>
    <row r="135" spans="3:11">
      <c r="C135" s="13" t="s">
        <v>52</v>
      </c>
      <c r="I135" s="191">
        <v>1982</v>
      </c>
      <c r="K135" s="194" t="s">
        <v>529</v>
      </c>
    </row>
    <row r="136" spans="3:11">
      <c r="C136" s="13" t="s">
        <v>53</v>
      </c>
      <c r="I136" s="191">
        <v>1983</v>
      </c>
      <c r="K136" s="31" t="s">
        <v>530</v>
      </c>
    </row>
    <row r="137" spans="3:11">
      <c r="C137" s="13" t="s">
        <v>54</v>
      </c>
      <c r="I137" s="191">
        <v>1984</v>
      </c>
      <c r="K137" s="31" t="s">
        <v>531</v>
      </c>
    </row>
    <row r="138" spans="3:11">
      <c r="C138" s="13" t="s">
        <v>55</v>
      </c>
      <c r="I138" s="191">
        <v>1985</v>
      </c>
      <c r="K138" s="31" t="s">
        <v>532</v>
      </c>
    </row>
    <row r="139" spans="3:11">
      <c r="C139" s="13" t="s">
        <v>56</v>
      </c>
      <c r="I139" s="191">
        <v>1986</v>
      </c>
      <c r="K139" s="31" t="s">
        <v>533</v>
      </c>
    </row>
    <row r="140" spans="3:11">
      <c r="C140" s="13" t="s">
        <v>57</v>
      </c>
      <c r="I140" s="191">
        <v>1987</v>
      </c>
      <c r="K140" s="31" t="s">
        <v>534</v>
      </c>
    </row>
    <row r="141" spans="3:11">
      <c r="C141" s="13" t="s">
        <v>58</v>
      </c>
      <c r="I141" s="191">
        <v>1988</v>
      </c>
      <c r="K141" s="31" t="s">
        <v>535</v>
      </c>
    </row>
    <row r="142" spans="3:11">
      <c r="C142" s="13" t="s">
        <v>59</v>
      </c>
      <c r="I142" s="191">
        <v>1989</v>
      </c>
      <c r="K142" s="31" t="s">
        <v>536</v>
      </c>
    </row>
    <row r="143" spans="3:11">
      <c r="C143" s="13" t="s">
        <v>60</v>
      </c>
      <c r="I143" s="191">
        <v>1990</v>
      </c>
      <c r="K143" s="31" t="s">
        <v>537</v>
      </c>
    </row>
    <row r="144" spans="3:11">
      <c r="C144" s="13" t="s">
        <v>61</v>
      </c>
      <c r="I144" s="191">
        <v>1991</v>
      </c>
      <c r="K144" s="31" t="s">
        <v>557</v>
      </c>
    </row>
    <row r="145" spans="3:11">
      <c r="C145" s="13" t="s">
        <v>62</v>
      </c>
      <c r="I145" s="191">
        <v>1992</v>
      </c>
      <c r="K145" s="31" t="s">
        <v>538</v>
      </c>
    </row>
    <row r="146" spans="3:11">
      <c r="C146" s="13" t="s">
        <v>135</v>
      </c>
      <c r="I146" s="191">
        <v>1993</v>
      </c>
      <c r="K146" s="31" t="s">
        <v>539</v>
      </c>
    </row>
    <row r="147" spans="3:11">
      <c r="C147" s="13" t="s">
        <v>63</v>
      </c>
      <c r="I147" s="191">
        <v>1994</v>
      </c>
      <c r="K147" s="31" t="s">
        <v>540</v>
      </c>
    </row>
    <row r="148" spans="3:11">
      <c r="C148" s="13" t="s">
        <v>64</v>
      </c>
      <c r="I148" s="191">
        <v>1995</v>
      </c>
      <c r="K148" s="31" t="s">
        <v>541</v>
      </c>
    </row>
    <row r="149" spans="3:11">
      <c r="C149" s="13" t="s">
        <v>65</v>
      </c>
      <c r="I149" s="191">
        <v>1996</v>
      </c>
      <c r="K149" s="31" t="s">
        <v>542</v>
      </c>
    </row>
    <row r="150" spans="3:11">
      <c r="C150" s="13" t="s">
        <v>73</v>
      </c>
      <c r="I150" s="191">
        <v>1997</v>
      </c>
      <c r="K150" s="31" t="s">
        <v>509</v>
      </c>
    </row>
    <row r="151" spans="3:11">
      <c r="C151" s="13" t="s">
        <v>66</v>
      </c>
      <c r="I151" s="191">
        <v>1998</v>
      </c>
      <c r="K151" s="31" t="s">
        <v>543</v>
      </c>
    </row>
    <row r="152" spans="3:11">
      <c r="C152" s="13" t="s">
        <v>67</v>
      </c>
      <c r="I152" s="191">
        <v>1999</v>
      </c>
      <c r="K152" s="31" t="s">
        <v>544</v>
      </c>
    </row>
    <row r="153" spans="3:11">
      <c r="C153" s="13" t="s">
        <v>68</v>
      </c>
      <c r="I153" s="191">
        <v>2000</v>
      </c>
      <c r="K153" s="31" t="s">
        <v>545</v>
      </c>
    </row>
    <row r="154" spans="3:11">
      <c r="C154" s="13" t="s">
        <v>69</v>
      </c>
      <c r="I154" s="191">
        <v>2001</v>
      </c>
      <c r="K154" s="31" t="s">
        <v>546</v>
      </c>
    </row>
    <row r="155" spans="3:11">
      <c r="C155" s="13" t="s">
        <v>70</v>
      </c>
      <c r="I155" s="191">
        <v>2002</v>
      </c>
      <c r="K155" s="193" t="s">
        <v>276</v>
      </c>
    </row>
    <row r="156" spans="3:11">
      <c r="C156" s="13" t="s">
        <v>71</v>
      </c>
      <c r="I156" s="191">
        <v>2003</v>
      </c>
      <c r="K156" s="195" t="s">
        <v>547</v>
      </c>
    </row>
    <row r="157" spans="3:11">
      <c r="C157" s="13" t="s">
        <v>74</v>
      </c>
      <c r="I157" s="191">
        <v>2004</v>
      </c>
      <c r="K157" s="31" t="s">
        <v>548</v>
      </c>
    </row>
    <row r="158" spans="3:11">
      <c r="C158" s="13" t="s">
        <v>75</v>
      </c>
      <c r="I158" s="191">
        <v>2005</v>
      </c>
      <c r="K158" s="31" t="s">
        <v>549</v>
      </c>
    </row>
    <row r="159" spans="3:11">
      <c r="C159" s="13" t="s">
        <v>76</v>
      </c>
      <c r="I159" s="191">
        <v>2006</v>
      </c>
      <c r="K159" s="31" t="s">
        <v>550</v>
      </c>
    </row>
    <row r="160" spans="3:11">
      <c r="C160" s="13" t="s">
        <v>9</v>
      </c>
      <c r="I160" s="191">
        <v>2007</v>
      </c>
      <c r="K160" s="31" t="s">
        <v>551</v>
      </c>
    </row>
    <row r="161" spans="3:11">
      <c r="C161" s="13" t="s">
        <v>77</v>
      </c>
      <c r="I161" s="191">
        <v>2008</v>
      </c>
      <c r="K161" s="31" t="s">
        <v>552</v>
      </c>
    </row>
    <row r="162" spans="3:11">
      <c r="C162" s="13" t="s">
        <v>78</v>
      </c>
      <c r="I162" s="191">
        <v>2009</v>
      </c>
      <c r="K162" s="31" t="s">
        <v>553</v>
      </c>
    </row>
    <row r="163" spans="3:11">
      <c r="C163" s="13" t="s">
        <v>79</v>
      </c>
      <c r="I163" s="191">
        <v>2010</v>
      </c>
      <c r="K163" s="31" t="s">
        <v>554</v>
      </c>
    </row>
    <row r="164" spans="3:11">
      <c r="C164" s="13" t="s">
        <v>80</v>
      </c>
      <c r="I164" s="191">
        <v>2011</v>
      </c>
      <c r="K164" s="31" t="s">
        <v>555</v>
      </c>
    </row>
    <row r="165" spans="3:11">
      <c r="C165" s="13" t="s">
        <v>81</v>
      </c>
      <c r="I165" s="191">
        <v>2012</v>
      </c>
      <c r="K165" s="31" t="s">
        <v>556</v>
      </c>
    </row>
    <row r="166" spans="3:11">
      <c r="C166" s="13" t="s">
        <v>83</v>
      </c>
      <c r="I166" s="191">
        <v>2013</v>
      </c>
    </row>
    <row r="167" spans="3:11">
      <c r="C167" s="13" t="s">
        <v>84</v>
      </c>
      <c r="I167" s="191">
        <v>2014</v>
      </c>
    </row>
    <row r="168" spans="3:11">
      <c r="C168" s="13" t="s">
        <v>85</v>
      </c>
      <c r="I168" s="191">
        <v>2015</v>
      </c>
    </row>
    <row r="169" spans="3:11">
      <c r="C169" s="13" t="s">
        <v>86</v>
      </c>
    </row>
    <row r="170" spans="3:11">
      <c r="C170" s="13" t="s">
        <v>87</v>
      </c>
    </row>
    <row r="171" spans="3:11">
      <c r="C171" s="13" t="s">
        <v>88</v>
      </c>
    </row>
    <row r="172" spans="3:11">
      <c r="C172" s="13" t="s">
        <v>89</v>
      </c>
    </row>
    <row r="173" spans="3:11">
      <c r="C173" s="13" t="s">
        <v>90</v>
      </c>
    </row>
    <row r="174" spans="3:11">
      <c r="C174" s="13" t="s">
        <v>91</v>
      </c>
    </row>
    <row r="175" spans="3:11">
      <c r="C175" s="13" t="s">
        <v>92</v>
      </c>
    </row>
    <row r="176" spans="3:11">
      <c r="C176" s="13" t="s">
        <v>93</v>
      </c>
    </row>
    <row r="177" spans="3:3">
      <c r="C177" s="13" t="s">
        <v>94</v>
      </c>
    </row>
    <row r="178" spans="3:3">
      <c r="C178" s="13" t="s">
        <v>95</v>
      </c>
    </row>
    <row r="179" spans="3:3">
      <c r="C179" s="13" t="s">
        <v>96</v>
      </c>
    </row>
    <row r="180" spans="3:3">
      <c r="C180" s="13" t="s">
        <v>97</v>
      </c>
    </row>
    <row r="181" spans="3:3">
      <c r="C181" s="13" t="s">
        <v>100</v>
      </c>
    </row>
    <row r="182" spans="3:3">
      <c r="C182" s="13" t="s">
        <v>98</v>
      </c>
    </row>
    <row r="183" spans="3:3">
      <c r="C183" s="13" t="s">
        <v>99</v>
      </c>
    </row>
    <row r="184" spans="3:3">
      <c r="C184" s="13" t="s">
        <v>101</v>
      </c>
    </row>
    <row r="185" spans="3:3">
      <c r="C185" s="13" t="s">
        <v>102</v>
      </c>
    </row>
    <row r="186" spans="3:3">
      <c r="C186" s="13" t="s">
        <v>103</v>
      </c>
    </row>
    <row r="187" spans="3:3">
      <c r="C187" s="13" t="s">
        <v>104</v>
      </c>
    </row>
    <row r="188" spans="3:3">
      <c r="C188" s="13" t="s">
        <v>105</v>
      </c>
    </row>
    <row r="189" spans="3:3">
      <c r="C189" s="13" t="s">
        <v>106</v>
      </c>
    </row>
    <row r="190" spans="3:3">
      <c r="C190" s="13" t="s">
        <v>107</v>
      </c>
    </row>
    <row r="191" spans="3:3">
      <c r="C191" s="13" t="s">
        <v>193</v>
      </c>
    </row>
    <row r="192" spans="3:3">
      <c r="C192" s="13" t="s">
        <v>108</v>
      </c>
    </row>
    <row r="193" spans="3:3">
      <c r="C193" s="13" t="s">
        <v>109</v>
      </c>
    </row>
    <row r="194" spans="3:3">
      <c r="C194" s="13" t="s">
        <v>110</v>
      </c>
    </row>
    <row r="195" spans="3:3">
      <c r="C195" s="13" t="s">
        <v>111</v>
      </c>
    </row>
    <row r="196" spans="3:3">
      <c r="C196" s="13" t="s">
        <v>112</v>
      </c>
    </row>
    <row r="197" spans="3:3">
      <c r="C197" s="13" t="s">
        <v>113</v>
      </c>
    </row>
    <row r="198" spans="3:3">
      <c r="C198" s="13" t="s">
        <v>114</v>
      </c>
    </row>
    <row r="199" spans="3:3">
      <c r="C199" s="13" t="s">
        <v>115</v>
      </c>
    </row>
    <row r="200" spans="3:3">
      <c r="C200" s="13" t="s">
        <v>194</v>
      </c>
    </row>
    <row r="201" spans="3:3">
      <c r="C201" s="13" t="s">
        <v>116</v>
      </c>
    </row>
    <row r="202" spans="3:3">
      <c r="C202" s="13" t="s">
        <v>117</v>
      </c>
    </row>
    <row r="203" spans="3:3">
      <c r="C203" s="13" t="s">
        <v>118</v>
      </c>
    </row>
    <row r="204" spans="3:3">
      <c r="C204" s="13" t="s">
        <v>141</v>
      </c>
    </row>
    <row r="205" spans="3:3">
      <c r="C205" s="13" t="s">
        <v>119</v>
      </c>
    </row>
    <row r="206" spans="3:3">
      <c r="C206" s="13" t="s">
        <v>120</v>
      </c>
    </row>
    <row r="207" spans="3:3">
      <c r="C207" s="13" t="s">
        <v>121</v>
      </c>
    </row>
    <row r="208" spans="3:3">
      <c r="C208" s="13" t="s">
        <v>122</v>
      </c>
    </row>
    <row r="209" spans="3:3">
      <c r="C209" s="13" t="s">
        <v>123</v>
      </c>
    </row>
    <row r="210" spans="3:3">
      <c r="C210" s="13" t="s">
        <v>124</v>
      </c>
    </row>
    <row r="211" spans="3:3">
      <c r="C211" s="13" t="s">
        <v>125</v>
      </c>
    </row>
    <row r="212" spans="3:3">
      <c r="C212" s="13" t="s">
        <v>126</v>
      </c>
    </row>
    <row r="213" spans="3:3">
      <c r="C213" s="13" t="s">
        <v>127</v>
      </c>
    </row>
    <row r="214" spans="3:3">
      <c r="C214" s="13" t="s">
        <v>128</v>
      </c>
    </row>
    <row r="215" spans="3:3">
      <c r="C215" s="13" t="s">
        <v>129</v>
      </c>
    </row>
    <row r="216" spans="3:3">
      <c r="C216" s="13" t="s">
        <v>130</v>
      </c>
    </row>
    <row r="217" spans="3:3">
      <c r="C217" s="13" t="s">
        <v>131</v>
      </c>
    </row>
    <row r="218" spans="3:3">
      <c r="C218" s="13" t="s">
        <v>132</v>
      </c>
    </row>
    <row r="219" spans="3:3">
      <c r="C219" s="13" t="s">
        <v>133</v>
      </c>
    </row>
    <row r="220" spans="3:3">
      <c r="C220" s="13" t="s">
        <v>134</v>
      </c>
    </row>
    <row r="221" spans="3:3">
      <c r="C221" s="13" t="s">
        <v>136</v>
      </c>
    </row>
    <row r="222" spans="3:3">
      <c r="C222" s="13" t="s">
        <v>137</v>
      </c>
    </row>
    <row r="223" spans="3:3">
      <c r="C223" s="13" t="s">
        <v>138</v>
      </c>
    </row>
    <row r="224" spans="3:3">
      <c r="C224" s="13" t="s">
        <v>139</v>
      </c>
    </row>
    <row r="225" spans="3:3">
      <c r="C225" s="13" t="s">
        <v>140</v>
      </c>
    </row>
    <row r="226" spans="3:3">
      <c r="C226" s="13" t="s">
        <v>142</v>
      </c>
    </row>
    <row r="227" spans="3:3">
      <c r="C227" s="13" t="s">
        <v>143</v>
      </c>
    </row>
    <row r="228" spans="3:3">
      <c r="C228" s="13" t="s">
        <v>144</v>
      </c>
    </row>
    <row r="229" spans="3:3">
      <c r="C229" s="13" t="s">
        <v>145</v>
      </c>
    </row>
    <row r="230" spans="3:3">
      <c r="C230" s="13" t="s">
        <v>146</v>
      </c>
    </row>
    <row r="231" spans="3:3">
      <c r="C231" s="13" t="s">
        <v>147</v>
      </c>
    </row>
    <row r="232" spans="3:3">
      <c r="C232" s="13" t="s">
        <v>148</v>
      </c>
    </row>
    <row r="233" spans="3:3">
      <c r="C233" s="13" t="s">
        <v>195</v>
      </c>
    </row>
    <row r="234" spans="3:3">
      <c r="C234" s="13" t="s">
        <v>150</v>
      </c>
    </row>
    <row r="235" spans="3:3">
      <c r="C235" s="13" t="s">
        <v>151</v>
      </c>
    </row>
    <row r="236" spans="3:3">
      <c r="C236" s="13" t="s">
        <v>152</v>
      </c>
    </row>
    <row r="237" spans="3:3">
      <c r="C237" s="13" t="s">
        <v>153</v>
      </c>
    </row>
    <row r="238" spans="3:3">
      <c r="C238" s="13" t="s">
        <v>154</v>
      </c>
    </row>
    <row r="239" spans="3:3">
      <c r="C239" s="13" t="s">
        <v>155</v>
      </c>
    </row>
    <row r="240" spans="3:3">
      <c r="C240" s="13" t="s">
        <v>156</v>
      </c>
    </row>
    <row r="241" spans="3:3">
      <c r="C241" s="13" t="s">
        <v>157</v>
      </c>
    </row>
    <row r="242" spans="3:3">
      <c r="C242" s="13" t="s">
        <v>167</v>
      </c>
    </row>
    <row r="243" spans="3:3">
      <c r="C243" s="13" t="s">
        <v>158</v>
      </c>
    </row>
    <row r="244" spans="3:3">
      <c r="C244" s="13" t="s">
        <v>159</v>
      </c>
    </row>
    <row r="245" spans="3:3">
      <c r="C245" s="13" t="s">
        <v>160</v>
      </c>
    </row>
    <row r="246" spans="3:3">
      <c r="C246" s="13" t="s">
        <v>161</v>
      </c>
    </row>
    <row r="247" spans="3:3">
      <c r="C247" s="13" t="s">
        <v>162</v>
      </c>
    </row>
    <row r="248" spans="3:3">
      <c r="C248" s="13" t="s">
        <v>163</v>
      </c>
    </row>
    <row r="249" spans="3:3">
      <c r="C249" s="13" t="s">
        <v>164</v>
      </c>
    </row>
    <row r="250" spans="3:3">
      <c r="C250" s="13" t="s">
        <v>165</v>
      </c>
    </row>
    <row r="251" spans="3:3">
      <c r="C251" s="13" t="s">
        <v>166</v>
      </c>
    </row>
    <row r="252" spans="3:3">
      <c r="C252" s="13" t="s">
        <v>168</v>
      </c>
    </row>
    <row r="253" spans="3:3">
      <c r="C253" s="13" t="s">
        <v>169</v>
      </c>
    </row>
    <row r="254" spans="3:3">
      <c r="C254" s="13" t="s">
        <v>170</v>
      </c>
    </row>
    <row r="255" spans="3:3">
      <c r="C255" s="13" t="s">
        <v>171</v>
      </c>
    </row>
    <row r="256" spans="3:3">
      <c r="C256" s="13" t="s">
        <v>172</v>
      </c>
    </row>
    <row r="257" spans="3:3">
      <c r="C257" s="13" t="s">
        <v>173</v>
      </c>
    </row>
    <row r="258" spans="3:3">
      <c r="C258" s="13" t="s">
        <v>174</v>
      </c>
    </row>
    <row r="259" spans="3:3">
      <c r="C259" s="13" t="s">
        <v>175</v>
      </c>
    </row>
    <row r="260" spans="3:3">
      <c r="C260" s="13" t="s">
        <v>176</v>
      </c>
    </row>
    <row r="261" spans="3:3">
      <c r="C261" s="13" t="s">
        <v>178</v>
      </c>
    </row>
    <row r="262" spans="3:3">
      <c r="C262" s="13" t="s">
        <v>177</v>
      </c>
    </row>
  </sheetData>
  <conditionalFormatting sqref="G35:L45">
    <cfRule type="containsErrors" dxfId="2" priority="2">
      <formula>ISERROR(G35)</formula>
    </cfRule>
  </conditionalFormatting>
  <conditionalFormatting sqref="F54:I75">
    <cfRule type="containsErrors" dxfId="1" priority="1">
      <formula>ISERROR(F54)</formula>
    </cfRule>
  </conditionalFormatting>
  <dataValidations count="8">
    <dataValidation type="list" allowBlank="1" showInputMessage="1" showErrorMessage="1" sqref="P35:P45">
      <formula1>$J$113:$J$116</formula1>
    </dataValidation>
    <dataValidation type="list" allowBlank="1" showInputMessage="1" showErrorMessage="1" sqref="I35:I45">
      <formula1>$K$113:$K$165</formula1>
    </dataValidation>
    <dataValidation type="list" allowBlank="1" showInputMessage="1" showErrorMessage="1" sqref="F35:F45">
      <formula1>$G$113:$G$126</formula1>
    </dataValidation>
    <dataValidation type="list" allowBlank="1" showInputMessage="1" showErrorMessage="1" sqref="M35:M45">
      <formula1>$I$113:$I$168</formula1>
    </dataValidation>
    <dataValidation type="list" allowBlank="1" showInputMessage="1" showErrorMessage="1" sqref="E10">
      <formula1>$C$113:$C$262</formula1>
    </dataValidation>
    <dataValidation type="list" allowBlank="1" showInputMessage="1" showErrorMessage="1" sqref="E8">
      <formula1>$E$113:$E$127</formula1>
    </dataValidation>
    <dataValidation type="list" allowBlank="1" showInputMessage="1" showErrorMessage="1" sqref="E9">
      <formula1>$F$113:$F$133</formula1>
    </dataValidation>
    <dataValidation type="list" allowBlank="1" showInputMessage="1" showErrorMessage="1" sqref="H89 H99">
      <formula1>J$113:J$114</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BB321"/>
  <sheetViews>
    <sheetView workbookViewId="0">
      <selection activeCell="C2" sqref="C2"/>
    </sheetView>
  </sheetViews>
  <sheetFormatPr defaultRowHeight="14.25"/>
  <cols>
    <col min="1" max="1" width="3.28515625" style="13" customWidth="1"/>
    <col min="2" max="2" width="3.140625" style="13" customWidth="1"/>
    <col min="3" max="3" width="51.140625" style="13" customWidth="1"/>
    <col min="4" max="4" width="14.42578125" style="13" customWidth="1"/>
    <col min="5" max="5" width="21.140625" style="13" customWidth="1"/>
    <col min="6" max="6" width="13.28515625" style="13" customWidth="1"/>
    <col min="7" max="7" width="14.42578125" style="13" customWidth="1"/>
    <col min="8" max="8" width="11.42578125" style="13" customWidth="1"/>
    <col min="9" max="9" width="21.42578125" style="13" customWidth="1"/>
    <col min="10" max="10" width="16.5703125" style="13" customWidth="1"/>
    <col min="11" max="16384" width="9.140625" style="13"/>
  </cols>
  <sheetData>
    <row r="2" spans="3:5" ht="23.25">
      <c r="C2" s="133" t="s">
        <v>364</v>
      </c>
      <c r="D2" s="31"/>
      <c r="E2" s="31"/>
    </row>
    <row r="3" spans="3:5" ht="15.75" customHeight="1">
      <c r="C3" s="134"/>
    </row>
    <row r="4" spans="3:5" ht="18">
      <c r="C4" s="188" t="s">
        <v>493</v>
      </c>
    </row>
    <row r="5" spans="3:5">
      <c r="C5" s="40" t="s">
        <v>366</v>
      </c>
    </row>
    <row r="6" spans="3:5" s="26" customFormat="1" ht="30" customHeight="1">
      <c r="C6" s="200" t="s">
        <v>367</v>
      </c>
      <c r="D6" s="201" t="s">
        <v>494</v>
      </c>
      <c r="E6" s="142" t="s">
        <v>368</v>
      </c>
    </row>
    <row r="7" spans="3:5">
      <c r="C7" s="13" t="s">
        <v>187</v>
      </c>
      <c r="D7" s="13">
        <v>37</v>
      </c>
      <c r="E7" s="42" t="s">
        <v>372</v>
      </c>
    </row>
    <row r="8" spans="3:5">
      <c r="C8" s="13" t="s">
        <v>9</v>
      </c>
      <c r="D8" s="13">
        <v>34</v>
      </c>
      <c r="E8" s="42" t="s">
        <v>373</v>
      </c>
    </row>
    <row r="9" spans="3:5">
      <c r="C9" s="13" t="s">
        <v>369</v>
      </c>
      <c r="D9" s="13">
        <v>40</v>
      </c>
      <c r="E9" s="42" t="s">
        <v>372</v>
      </c>
    </row>
    <row r="10" spans="3:5">
      <c r="C10" s="13" t="s">
        <v>96</v>
      </c>
      <c r="D10" s="13">
        <v>34</v>
      </c>
      <c r="E10" s="42" t="s">
        <v>373</v>
      </c>
    </row>
    <row r="11" spans="3:5">
      <c r="C11" s="13" t="s">
        <v>370</v>
      </c>
      <c r="D11" s="13">
        <v>50</v>
      </c>
      <c r="E11" s="42" t="s">
        <v>374</v>
      </c>
    </row>
    <row r="12" spans="3:5">
      <c r="C12" s="13" t="s">
        <v>104</v>
      </c>
      <c r="D12" s="13">
        <v>42</v>
      </c>
      <c r="E12" s="42" t="s">
        <v>375</v>
      </c>
    </row>
    <row r="13" spans="3:5">
      <c r="C13" s="13" t="s">
        <v>56</v>
      </c>
      <c r="D13" s="13">
        <v>50</v>
      </c>
      <c r="E13" s="42" t="s">
        <v>376</v>
      </c>
    </row>
    <row r="14" spans="3:5">
      <c r="C14" s="13" t="s">
        <v>371</v>
      </c>
      <c r="D14" s="13">
        <v>60</v>
      </c>
      <c r="E14" s="42" t="s">
        <v>377</v>
      </c>
    </row>
    <row r="15" spans="3:5">
      <c r="C15" s="13" t="s">
        <v>74</v>
      </c>
      <c r="D15" s="13">
        <v>62</v>
      </c>
      <c r="E15" s="42" t="s">
        <v>378</v>
      </c>
    </row>
    <row r="16" spans="3:5">
      <c r="C16" s="13" t="s">
        <v>86</v>
      </c>
      <c r="D16" s="13">
        <v>62</v>
      </c>
      <c r="E16" s="42" t="s">
        <v>378</v>
      </c>
    </row>
    <row r="17" spans="3:7">
      <c r="C17" s="13" t="s">
        <v>89</v>
      </c>
      <c r="D17" s="13">
        <v>57</v>
      </c>
      <c r="E17" s="42" t="s">
        <v>379</v>
      </c>
    </row>
    <row r="18" spans="3:7">
      <c r="C18" s="13" t="s">
        <v>102</v>
      </c>
      <c r="D18" s="13">
        <v>60</v>
      </c>
      <c r="E18" s="42" t="s">
        <v>380</v>
      </c>
    </row>
    <row r="19" spans="3:7">
      <c r="C19" s="13" t="s">
        <v>154</v>
      </c>
      <c r="D19" s="13">
        <v>75</v>
      </c>
      <c r="E19" s="42" t="s">
        <v>381</v>
      </c>
    </row>
    <row r="20" spans="3:7">
      <c r="C20" s="13" t="s">
        <v>162</v>
      </c>
      <c r="D20" s="13">
        <v>38</v>
      </c>
      <c r="E20" s="42" t="s">
        <v>382</v>
      </c>
    </row>
    <row r="21" spans="3:7">
      <c r="C21" s="35" t="s">
        <v>168</v>
      </c>
      <c r="D21" s="35">
        <v>85</v>
      </c>
      <c r="E21" s="46" t="s">
        <v>383</v>
      </c>
    </row>
    <row r="23" spans="3:7" ht="18">
      <c r="C23" s="188" t="s">
        <v>384</v>
      </c>
      <c r="D23" s="188"/>
      <c r="E23" s="188"/>
    </row>
    <row r="24" spans="3:7">
      <c r="C24" s="40" t="s">
        <v>385</v>
      </c>
    </row>
    <row r="25" spans="3:7" ht="15">
      <c r="C25" s="234" t="s">
        <v>293</v>
      </c>
      <c r="D25" s="234" t="s">
        <v>0</v>
      </c>
      <c r="E25" s="234" t="s">
        <v>1</v>
      </c>
    </row>
    <row r="26" spans="3:7">
      <c r="C26" s="274" t="s">
        <v>386</v>
      </c>
      <c r="D26" s="356">
        <v>0.6</v>
      </c>
      <c r="E26" s="274" t="s">
        <v>387</v>
      </c>
    </row>
    <row r="28" spans="3:7" ht="18">
      <c r="C28" s="188" t="s">
        <v>388</v>
      </c>
    </row>
    <row r="29" spans="3:7">
      <c r="C29" s="40" t="s">
        <v>389</v>
      </c>
    </row>
    <row r="30" spans="3:7" s="26" customFormat="1" ht="31.5" customHeight="1">
      <c r="C30" s="200" t="s">
        <v>390</v>
      </c>
      <c r="D30" s="201" t="s">
        <v>392</v>
      </c>
      <c r="E30" s="142" t="s">
        <v>368</v>
      </c>
      <c r="F30" s="142" t="s">
        <v>487</v>
      </c>
      <c r="G30" s="200" t="s">
        <v>391</v>
      </c>
    </row>
    <row r="31" spans="3:7" ht="15">
      <c r="C31" s="357" t="s">
        <v>397</v>
      </c>
      <c r="D31" s="137"/>
      <c r="E31" s="185"/>
      <c r="F31" s="185"/>
      <c r="G31" s="137"/>
    </row>
    <row r="32" spans="3:7">
      <c r="C32" s="13" t="s">
        <v>393</v>
      </c>
      <c r="D32" s="13">
        <v>0.1</v>
      </c>
      <c r="E32" s="42" t="s">
        <v>408</v>
      </c>
      <c r="F32" s="42" t="s">
        <v>485</v>
      </c>
      <c r="G32" s="13" t="s">
        <v>417</v>
      </c>
    </row>
    <row r="33" spans="1:7">
      <c r="C33" s="13" t="s">
        <v>394</v>
      </c>
      <c r="D33" s="13">
        <v>0.5</v>
      </c>
      <c r="E33" s="42" t="s">
        <v>409</v>
      </c>
      <c r="F33" s="42" t="s">
        <v>485</v>
      </c>
      <c r="G33" s="13" t="s">
        <v>418</v>
      </c>
    </row>
    <row r="34" spans="1:7">
      <c r="C34" s="13" t="s">
        <v>395</v>
      </c>
      <c r="D34" s="13">
        <v>0</v>
      </c>
      <c r="E34" s="42">
        <v>0</v>
      </c>
      <c r="F34" s="42" t="s">
        <v>484</v>
      </c>
      <c r="G34" s="13" t="s">
        <v>419</v>
      </c>
    </row>
    <row r="35" spans="1:7" ht="15">
      <c r="C35" s="357" t="s">
        <v>396</v>
      </c>
      <c r="D35" s="137"/>
      <c r="E35" s="185"/>
      <c r="F35" s="185"/>
      <c r="G35" s="137"/>
    </row>
    <row r="36" spans="1:7">
      <c r="C36" s="13" t="s">
        <v>398</v>
      </c>
      <c r="D36" s="13">
        <v>0</v>
      </c>
      <c r="E36" s="42" t="s">
        <v>410</v>
      </c>
      <c r="F36" s="42" t="s">
        <v>484</v>
      </c>
      <c r="G36" s="13" t="s">
        <v>420</v>
      </c>
    </row>
    <row r="37" spans="1:7">
      <c r="C37" s="13" t="s">
        <v>399</v>
      </c>
      <c r="D37" s="13">
        <v>0.3</v>
      </c>
      <c r="E37" s="42" t="s">
        <v>416</v>
      </c>
      <c r="F37" s="42" t="s">
        <v>484</v>
      </c>
      <c r="G37" s="13" t="s">
        <v>421</v>
      </c>
    </row>
    <row r="38" spans="1:7">
      <c r="C38" s="13" t="s">
        <v>400</v>
      </c>
      <c r="D38" s="13">
        <v>0.8</v>
      </c>
      <c r="E38" s="42" t="s">
        <v>414</v>
      </c>
      <c r="F38" s="42" t="s">
        <v>484</v>
      </c>
      <c r="G38" s="13" t="s">
        <v>422</v>
      </c>
    </row>
    <row r="39" spans="1:7">
      <c r="C39" s="13" t="s">
        <v>401</v>
      </c>
      <c r="D39" s="13">
        <v>0.8</v>
      </c>
      <c r="E39" s="42" t="s">
        <v>414</v>
      </c>
      <c r="F39" s="42" t="s">
        <v>484</v>
      </c>
      <c r="G39" s="13" t="s">
        <v>423</v>
      </c>
    </row>
    <row r="40" spans="1:7">
      <c r="C40" s="13" t="s">
        <v>402</v>
      </c>
      <c r="D40" s="13">
        <v>0.2</v>
      </c>
      <c r="E40" s="42" t="s">
        <v>415</v>
      </c>
      <c r="F40" s="42" t="s">
        <v>484</v>
      </c>
      <c r="G40" s="13" t="s">
        <v>424</v>
      </c>
    </row>
    <row r="41" spans="1:7">
      <c r="C41" s="13" t="s">
        <v>403</v>
      </c>
      <c r="D41" s="13">
        <v>0.8</v>
      </c>
      <c r="E41" s="42" t="s">
        <v>414</v>
      </c>
      <c r="F41" s="42" t="s">
        <v>484</v>
      </c>
      <c r="G41" s="13" t="s">
        <v>425</v>
      </c>
    </row>
    <row r="42" spans="1:7">
      <c r="C42" s="13" t="s">
        <v>365</v>
      </c>
      <c r="D42" s="13">
        <v>0.5</v>
      </c>
      <c r="E42" s="42">
        <v>0.5</v>
      </c>
      <c r="F42" s="42" t="s">
        <v>488</v>
      </c>
      <c r="G42" s="13" t="s">
        <v>426</v>
      </c>
    </row>
    <row r="43" spans="1:7">
      <c r="C43" s="13" t="s">
        <v>404</v>
      </c>
      <c r="D43" s="13">
        <v>0.1</v>
      </c>
      <c r="E43" s="42" t="s">
        <v>411</v>
      </c>
      <c r="F43" s="42" t="s">
        <v>489</v>
      </c>
      <c r="G43" s="13" t="s">
        <v>427</v>
      </c>
    </row>
    <row r="44" spans="1:7">
      <c r="C44" s="13" t="s">
        <v>405</v>
      </c>
      <c r="D44" s="13">
        <v>0.5</v>
      </c>
      <c r="E44" s="42" t="s">
        <v>413</v>
      </c>
      <c r="F44" s="42" t="s">
        <v>489</v>
      </c>
      <c r="G44" s="13" t="s">
        <v>428</v>
      </c>
    </row>
    <row r="45" spans="1:7">
      <c r="C45" s="13" t="s">
        <v>406</v>
      </c>
      <c r="D45" s="13">
        <v>0.7</v>
      </c>
      <c r="E45" s="42" t="s">
        <v>412</v>
      </c>
      <c r="F45" s="42" t="s">
        <v>489</v>
      </c>
      <c r="G45" s="13" t="s">
        <v>429</v>
      </c>
    </row>
    <row r="46" spans="1:7">
      <c r="C46" s="35" t="s">
        <v>407</v>
      </c>
      <c r="D46" s="35">
        <v>0.1</v>
      </c>
      <c r="E46" s="46">
        <v>0.1</v>
      </c>
      <c r="F46" s="46" t="s">
        <v>489</v>
      </c>
      <c r="G46" s="35" t="s">
        <v>430</v>
      </c>
    </row>
    <row r="48" spans="1:7" ht="18">
      <c r="A48" s="31"/>
      <c r="B48" s="31"/>
      <c r="C48" s="188" t="s">
        <v>431</v>
      </c>
    </row>
    <row r="49" spans="1:9">
      <c r="A49" s="31"/>
      <c r="B49" s="31"/>
      <c r="C49" s="40" t="s">
        <v>434</v>
      </c>
    </row>
    <row r="50" spans="1:9" s="213" customFormat="1" ht="45">
      <c r="C50" s="358" t="s">
        <v>208</v>
      </c>
      <c r="D50" s="142" t="s">
        <v>440</v>
      </c>
      <c r="E50" s="142" t="s">
        <v>438</v>
      </c>
      <c r="F50" s="142" t="s">
        <v>439</v>
      </c>
      <c r="G50" s="203" t="s">
        <v>441</v>
      </c>
      <c r="H50" s="142" t="s">
        <v>442</v>
      </c>
    </row>
    <row r="51" spans="1:9" ht="15">
      <c r="A51" s="31"/>
      <c r="B51" s="31"/>
      <c r="C51" s="357" t="s">
        <v>187</v>
      </c>
      <c r="D51" s="137"/>
      <c r="E51" s="137"/>
      <c r="F51" s="137"/>
      <c r="G51" s="359"/>
      <c r="H51" s="137"/>
    </row>
    <row r="52" spans="1:9">
      <c r="A52" s="31"/>
      <c r="B52" s="31"/>
      <c r="C52" s="13" t="s">
        <v>129</v>
      </c>
      <c r="D52" s="284">
        <v>0.52</v>
      </c>
      <c r="E52" s="284">
        <v>0.1</v>
      </c>
      <c r="F52" s="284">
        <v>0.38</v>
      </c>
      <c r="G52" s="360">
        <f>E52/(SUM($E52:$F52))</f>
        <v>0.20833333333333334</v>
      </c>
      <c r="H52" s="214">
        <f>F52/(SUM($E52:$F52))</f>
        <v>0.79166666666666674</v>
      </c>
      <c r="I52" s="343"/>
    </row>
    <row r="53" spans="1:9">
      <c r="A53" s="31"/>
      <c r="B53" s="31"/>
      <c r="C53" s="13" t="s">
        <v>9</v>
      </c>
      <c r="D53" s="284">
        <v>0.56999999999999995</v>
      </c>
      <c r="E53" s="284">
        <v>0.09</v>
      </c>
      <c r="F53" s="284">
        <v>0.34</v>
      </c>
      <c r="G53" s="360">
        <f t="shared" ref="G53:G55" si="0">E53/(SUM($E53:$F53))</f>
        <v>0.2093023255813953</v>
      </c>
      <c r="H53" s="214">
        <f t="shared" ref="H53:H55" si="1">F53/(SUM($E53:$F53))</f>
        <v>0.79069767441860461</v>
      </c>
    </row>
    <row r="54" spans="1:9">
      <c r="A54" s="31"/>
      <c r="B54" s="31"/>
      <c r="C54" s="13" t="s">
        <v>107</v>
      </c>
      <c r="D54" s="284">
        <v>0.62</v>
      </c>
      <c r="E54" s="284">
        <v>0.08</v>
      </c>
      <c r="F54" s="284">
        <v>0.3</v>
      </c>
      <c r="G54" s="360">
        <f t="shared" si="0"/>
        <v>0.21052631578947367</v>
      </c>
      <c r="H54" s="214">
        <f t="shared" si="1"/>
        <v>0.78947368421052633</v>
      </c>
    </row>
    <row r="55" spans="1:9">
      <c r="A55" s="31"/>
      <c r="B55" s="31"/>
      <c r="C55" s="13" t="s">
        <v>150</v>
      </c>
      <c r="D55" s="284">
        <v>0.39</v>
      </c>
      <c r="E55" s="284">
        <v>0.12</v>
      </c>
      <c r="F55" s="284">
        <v>0.49</v>
      </c>
      <c r="G55" s="360">
        <f t="shared" si="0"/>
        <v>0.19672131147540983</v>
      </c>
      <c r="H55" s="214">
        <f t="shared" si="1"/>
        <v>0.80327868852459017</v>
      </c>
    </row>
    <row r="56" spans="1:9" ht="15">
      <c r="C56" s="357" t="s">
        <v>432</v>
      </c>
      <c r="D56" s="345"/>
      <c r="E56" s="345"/>
      <c r="F56" s="345"/>
      <c r="G56" s="361"/>
      <c r="H56" s="345"/>
    </row>
    <row r="57" spans="1:9">
      <c r="C57" s="13" t="s">
        <v>433</v>
      </c>
      <c r="D57" s="284">
        <v>0.59</v>
      </c>
      <c r="E57" s="284">
        <v>0.12</v>
      </c>
      <c r="F57" s="284">
        <v>0.28999999999999998</v>
      </c>
      <c r="G57" s="360">
        <f>E57/(SUM($E57:$F57))</f>
        <v>0.29268292682926828</v>
      </c>
      <c r="H57" s="214">
        <f>F57/(SUM($E57:$F57))</f>
        <v>0.70731707317073167</v>
      </c>
    </row>
    <row r="58" spans="1:9">
      <c r="C58" s="13" t="s">
        <v>96</v>
      </c>
      <c r="D58" s="284">
        <v>0.71</v>
      </c>
      <c r="E58" s="284">
        <v>0.06</v>
      </c>
      <c r="F58" s="284">
        <v>0.23</v>
      </c>
      <c r="G58" s="360">
        <f t="shared" ref="G58:G60" si="2">E58/(SUM($E58:$F58))</f>
        <v>0.2068965517241379</v>
      </c>
      <c r="H58" s="214">
        <f t="shared" ref="H58:H60" si="3">F58/(SUM($E58:$F58))</f>
        <v>0.79310344827586199</v>
      </c>
    </row>
    <row r="59" spans="1:9">
      <c r="C59" s="13" t="s">
        <v>97</v>
      </c>
      <c r="D59" s="284">
        <v>0.54</v>
      </c>
      <c r="E59" s="284">
        <v>0.12</v>
      </c>
      <c r="F59" s="284">
        <v>0.34</v>
      </c>
      <c r="G59" s="360">
        <f t="shared" si="2"/>
        <v>0.2608695652173913</v>
      </c>
      <c r="H59" s="214">
        <f t="shared" si="3"/>
        <v>0.73913043478260876</v>
      </c>
    </row>
    <row r="60" spans="1:9">
      <c r="C60" s="13" t="s">
        <v>132</v>
      </c>
      <c r="D60" s="284">
        <v>0.65</v>
      </c>
      <c r="E60" s="284">
        <v>7.0000000000000007E-2</v>
      </c>
      <c r="F60" s="284">
        <v>0.28000000000000003</v>
      </c>
      <c r="G60" s="360">
        <f t="shared" si="2"/>
        <v>0.2</v>
      </c>
      <c r="H60" s="214">
        <f t="shared" si="3"/>
        <v>0.8</v>
      </c>
    </row>
    <row r="61" spans="1:9">
      <c r="C61" s="13" t="s">
        <v>49</v>
      </c>
      <c r="D61" s="284">
        <v>0.72</v>
      </c>
      <c r="E61" s="284">
        <v>0.06</v>
      </c>
      <c r="F61" s="284">
        <v>0.22</v>
      </c>
      <c r="G61" s="360">
        <f>E61/(SUM($E61:$F61))</f>
        <v>0.21428571428571425</v>
      </c>
      <c r="H61" s="214">
        <f>F61/(SUM($E61:$F61))</f>
        <v>0.7857142857142857</v>
      </c>
    </row>
    <row r="62" spans="1:9">
      <c r="C62" s="13" t="s">
        <v>104</v>
      </c>
      <c r="D62" s="284">
        <v>0.2</v>
      </c>
      <c r="E62" s="284">
        <v>0.8</v>
      </c>
      <c r="F62" s="284">
        <v>0</v>
      </c>
      <c r="G62" s="360">
        <f t="shared" ref="G62" si="4">E62/(SUM($E62:$F62))</f>
        <v>1</v>
      </c>
      <c r="H62" s="214">
        <f t="shared" ref="H62" si="5">F62/(SUM($E62:$F62))</f>
        <v>0</v>
      </c>
    </row>
    <row r="63" spans="1:9" ht="15">
      <c r="C63" s="357" t="s">
        <v>435</v>
      </c>
      <c r="D63" s="345"/>
      <c r="E63" s="345"/>
      <c r="F63" s="345"/>
      <c r="G63" s="361"/>
      <c r="H63" s="345"/>
    </row>
    <row r="64" spans="1:9">
      <c r="C64" s="13" t="s">
        <v>143</v>
      </c>
      <c r="D64" s="284">
        <v>0.27</v>
      </c>
      <c r="E64" s="284">
        <v>0.73</v>
      </c>
      <c r="F64" s="284">
        <v>0</v>
      </c>
      <c r="G64" s="360">
        <f t="shared" ref="G64" si="6">E64/(SUM($E64:$F64))</f>
        <v>1</v>
      </c>
      <c r="H64" s="214">
        <f t="shared" ref="H64" si="7">F64/(SUM($E64:$F64))</f>
        <v>0</v>
      </c>
    </row>
    <row r="65" spans="1:8">
      <c r="C65" s="13" t="s">
        <v>86</v>
      </c>
      <c r="D65" s="284">
        <v>0.06</v>
      </c>
      <c r="E65" s="284">
        <v>0.94</v>
      </c>
      <c r="F65" s="284">
        <v>0</v>
      </c>
      <c r="G65" s="360">
        <f t="shared" ref="G65:G68" si="8">E65/(SUM($E65:$F65))</f>
        <v>1</v>
      </c>
      <c r="H65" s="214">
        <f t="shared" ref="H65:H68" si="9">F65/(SUM($E65:$F65))</f>
        <v>0</v>
      </c>
    </row>
    <row r="66" spans="1:8">
      <c r="C66" s="13" t="s">
        <v>166</v>
      </c>
      <c r="D66" s="284">
        <v>0.1</v>
      </c>
      <c r="E66" s="284">
        <v>0.9</v>
      </c>
      <c r="F66" s="284">
        <v>0</v>
      </c>
      <c r="G66" s="360">
        <f t="shared" si="8"/>
        <v>1</v>
      </c>
      <c r="H66" s="214">
        <f t="shared" si="9"/>
        <v>0</v>
      </c>
    </row>
    <row r="67" spans="1:8">
      <c r="C67" s="13" t="s">
        <v>83</v>
      </c>
      <c r="D67" s="284">
        <v>0.24</v>
      </c>
      <c r="E67" s="284">
        <v>0.76</v>
      </c>
      <c r="F67" s="284">
        <v>0</v>
      </c>
      <c r="G67" s="360">
        <f t="shared" si="8"/>
        <v>1</v>
      </c>
      <c r="H67" s="214">
        <f t="shared" si="9"/>
        <v>0</v>
      </c>
    </row>
    <row r="68" spans="1:8">
      <c r="C68" s="13" t="s">
        <v>102</v>
      </c>
      <c r="D68" s="284">
        <v>0.32</v>
      </c>
      <c r="E68" s="284">
        <v>0.68</v>
      </c>
      <c r="F68" s="284">
        <v>0</v>
      </c>
      <c r="G68" s="360">
        <f t="shared" si="8"/>
        <v>1</v>
      </c>
      <c r="H68" s="214">
        <f t="shared" si="9"/>
        <v>0</v>
      </c>
    </row>
    <row r="69" spans="1:8" ht="15">
      <c r="C69" s="357" t="s">
        <v>270</v>
      </c>
      <c r="D69" s="345"/>
      <c r="E69" s="345"/>
      <c r="F69" s="345"/>
      <c r="G69" s="361"/>
      <c r="H69" s="345"/>
    </row>
    <row r="70" spans="1:8">
      <c r="C70" s="13" t="s">
        <v>168</v>
      </c>
      <c r="D70" s="284">
        <v>0.22</v>
      </c>
      <c r="E70" s="284">
        <v>0.78</v>
      </c>
      <c r="F70" s="284">
        <v>0</v>
      </c>
      <c r="G70" s="360">
        <f t="shared" ref="G70" si="10">E70/(SUM($E70:$F70))</f>
        <v>1</v>
      </c>
      <c r="H70" s="214">
        <f t="shared" ref="H70" si="11">F70/(SUM($E70:$F70))</f>
        <v>0</v>
      </c>
    </row>
    <row r="71" spans="1:8">
      <c r="C71" s="13" t="s">
        <v>61</v>
      </c>
      <c r="D71" s="284">
        <v>0.2</v>
      </c>
      <c r="E71" s="284">
        <v>0.8</v>
      </c>
      <c r="F71" s="284">
        <v>0</v>
      </c>
      <c r="G71" s="360">
        <f t="shared" ref="G71:G72" si="12">E71/(SUM($E71:$F71))</f>
        <v>1</v>
      </c>
      <c r="H71" s="214">
        <f t="shared" ref="H71:H72" si="13">F71/(SUM($E71:$F71))</f>
        <v>0</v>
      </c>
    </row>
    <row r="72" spans="1:8">
      <c r="C72" s="13" t="s">
        <v>118</v>
      </c>
      <c r="D72" s="284">
        <v>0.25</v>
      </c>
      <c r="E72" s="284">
        <v>0.19</v>
      </c>
      <c r="F72" s="284">
        <v>0.56000000000000005</v>
      </c>
      <c r="G72" s="360">
        <f t="shared" si="12"/>
        <v>0.25333333333333335</v>
      </c>
      <c r="H72" s="214">
        <f t="shared" si="13"/>
        <v>0.7466666666666667</v>
      </c>
    </row>
    <row r="73" spans="1:8" ht="15">
      <c r="C73" s="357" t="s">
        <v>436</v>
      </c>
      <c r="D73" s="345"/>
      <c r="E73" s="345"/>
      <c r="F73" s="345"/>
      <c r="G73" s="361"/>
      <c r="H73" s="345"/>
    </row>
    <row r="74" spans="1:8">
      <c r="C74" s="13" t="s">
        <v>56</v>
      </c>
      <c r="D74" s="284">
        <v>0.16</v>
      </c>
      <c r="E74" s="284">
        <v>0.25</v>
      </c>
      <c r="F74" s="284">
        <v>0.59</v>
      </c>
      <c r="G74" s="360">
        <f t="shared" ref="G74" si="14">E74/(SUM($E74:$F74))</f>
        <v>0.29761904761904762</v>
      </c>
      <c r="H74" s="214">
        <f t="shared" ref="H74" si="15">F74/(SUM($E74:$F74))</f>
        <v>0.70238095238095233</v>
      </c>
    </row>
    <row r="75" spans="1:8" ht="15">
      <c r="C75" s="357" t="s">
        <v>437</v>
      </c>
      <c r="D75" s="345"/>
      <c r="E75" s="345"/>
      <c r="F75" s="345"/>
      <c r="G75" s="361"/>
      <c r="H75" s="345"/>
    </row>
    <row r="76" spans="1:8">
      <c r="C76" s="13" t="s">
        <v>45</v>
      </c>
      <c r="D76" s="284">
        <v>0.08</v>
      </c>
      <c r="E76" s="284">
        <v>0.92</v>
      </c>
      <c r="F76" s="284">
        <v>0</v>
      </c>
      <c r="G76" s="360">
        <f t="shared" ref="G76" si="16">E76/(SUM($E76:$F76))</f>
        <v>1</v>
      </c>
      <c r="H76" s="214">
        <f t="shared" ref="H76" si="17">F76/(SUM($E76:$F76))</f>
        <v>0</v>
      </c>
    </row>
    <row r="77" spans="1:8">
      <c r="C77" s="35" t="s">
        <v>127</v>
      </c>
      <c r="D77" s="285">
        <v>0.08</v>
      </c>
      <c r="E77" s="285">
        <v>0.92</v>
      </c>
      <c r="F77" s="285">
        <v>0</v>
      </c>
      <c r="G77" s="362">
        <f t="shared" ref="G77" si="18">E77/(SUM($E77:$F77))</f>
        <v>1</v>
      </c>
      <c r="H77" s="285">
        <f t="shared" ref="H77" si="19">F77/(SUM($E77:$F77))</f>
        <v>0</v>
      </c>
    </row>
    <row r="78" spans="1:8">
      <c r="D78" s="284"/>
      <c r="E78" s="284"/>
      <c r="F78" s="284"/>
      <c r="G78" s="284"/>
      <c r="H78" s="284"/>
    </row>
    <row r="79" spans="1:8" ht="18">
      <c r="A79" s="31"/>
      <c r="B79" s="31"/>
      <c r="C79" s="188" t="s">
        <v>580</v>
      </c>
    </row>
    <row r="80" spans="1:8">
      <c r="A80" s="31"/>
      <c r="B80" s="31"/>
      <c r="C80" s="40" t="s">
        <v>434</v>
      </c>
    </row>
    <row r="81" spans="3:18" s="20" customFormat="1" ht="30">
      <c r="C81" s="358" t="s">
        <v>208</v>
      </c>
      <c r="D81" s="358" t="s">
        <v>453</v>
      </c>
      <c r="E81" s="363" t="s">
        <v>454</v>
      </c>
      <c r="F81" s="363" t="s">
        <v>455</v>
      </c>
      <c r="G81" s="363" t="s">
        <v>456</v>
      </c>
      <c r="H81" s="363" t="s">
        <v>457</v>
      </c>
      <c r="I81" s="203" t="s">
        <v>443</v>
      </c>
      <c r="J81" s="142" t="s">
        <v>444</v>
      </c>
      <c r="K81" s="142" t="s">
        <v>445</v>
      </c>
      <c r="L81" s="142" t="s">
        <v>446</v>
      </c>
      <c r="M81" s="142" t="s">
        <v>447</v>
      </c>
      <c r="N81" s="203" t="s">
        <v>448</v>
      </c>
      <c r="O81" s="142" t="s">
        <v>449</v>
      </c>
      <c r="P81" s="142" t="s">
        <v>450</v>
      </c>
      <c r="Q81" s="142" t="s">
        <v>451</v>
      </c>
      <c r="R81" s="142" t="s">
        <v>452</v>
      </c>
    </row>
    <row r="82" spans="3:18" ht="15">
      <c r="C82" s="357" t="s">
        <v>187</v>
      </c>
      <c r="D82" s="137"/>
      <c r="E82" s="185"/>
      <c r="F82" s="185"/>
      <c r="G82" s="185"/>
      <c r="H82" s="185"/>
      <c r="I82" s="364"/>
      <c r="J82" s="185"/>
      <c r="K82" s="185"/>
      <c r="L82" s="185"/>
      <c r="M82" s="185"/>
      <c r="N82" s="364"/>
      <c r="O82" s="185"/>
      <c r="P82" s="185"/>
      <c r="Q82" s="185"/>
      <c r="R82" s="185"/>
    </row>
    <row r="83" spans="3:18">
      <c r="C83" s="13" t="s">
        <v>129</v>
      </c>
      <c r="D83" s="284">
        <v>0.02</v>
      </c>
      <c r="E83" s="365">
        <v>0.28000000000000003</v>
      </c>
      <c r="F83" s="365">
        <v>0.04</v>
      </c>
      <c r="G83" s="365">
        <v>0.1</v>
      </c>
      <c r="H83" s="365">
        <v>0.56000000000000005</v>
      </c>
      <c r="I83" s="366">
        <v>0.32</v>
      </c>
      <c r="J83" s="365">
        <v>0.31</v>
      </c>
      <c r="K83" s="365">
        <v>0</v>
      </c>
      <c r="L83" s="365">
        <v>0.37</v>
      </c>
      <c r="M83" s="365">
        <v>0</v>
      </c>
      <c r="N83" s="366">
        <v>0.17</v>
      </c>
      <c r="O83" s="365">
        <v>0.24</v>
      </c>
      <c r="P83" s="365">
        <v>0.05</v>
      </c>
      <c r="Q83" s="365">
        <v>0.34</v>
      </c>
      <c r="R83" s="365">
        <v>0.2</v>
      </c>
    </row>
    <row r="84" spans="3:18">
      <c r="C84" s="13" t="s">
        <v>9</v>
      </c>
      <c r="D84" s="284">
        <v>0.02</v>
      </c>
      <c r="E84" s="365">
        <v>0.28000000000000003</v>
      </c>
      <c r="F84" s="365">
        <v>0.04</v>
      </c>
      <c r="G84" s="365">
        <v>0.1</v>
      </c>
      <c r="H84" s="365">
        <v>0.56000000000000005</v>
      </c>
      <c r="I84" s="366">
        <v>0.15</v>
      </c>
      <c r="J84" s="365">
        <v>0.05</v>
      </c>
      <c r="K84" s="365">
        <v>0.1</v>
      </c>
      <c r="L84" s="365">
        <v>0.7</v>
      </c>
      <c r="M84" s="365">
        <v>0</v>
      </c>
      <c r="N84" s="366">
        <v>0.17</v>
      </c>
      <c r="O84" s="365">
        <v>0.24</v>
      </c>
      <c r="P84" s="365">
        <v>0.05</v>
      </c>
      <c r="Q84" s="365">
        <v>0.34</v>
      </c>
      <c r="R84" s="365">
        <v>0.2</v>
      </c>
    </row>
    <row r="85" spans="3:18">
      <c r="C85" s="13" t="s">
        <v>107</v>
      </c>
      <c r="D85" s="284">
        <v>0.02</v>
      </c>
      <c r="E85" s="365">
        <v>0.28000000000000003</v>
      </c>
      <c r="F85" s="365">
        <v>0.04</v>
      </c>
      <c r="G85" s="365">
        <v>0.1</v>
      </c>
      <c r="H85" s="365">
        <v>0.56000000000000005</v>
      </c>
      <c r="I85" s="366">
        <v>0.32</v>
      </c>
      <c r="J85" s="365">
        <v>0.31</v>
      </c>
      <c r="K85" s="365">
        <v>0</v>
      </c>
      <c r="L85" s="365">
        <v>0.37</v>
      </c>
      <c r="M85" s="365">
        <v>0</v>
      </c>
      <c r="N85" s="366">
        <v>0.17</v>
      </c>
      <c r="O85" s="365">
        <v>0.24</v>
      </c>
      <c r="P85" s="365">
        <v>0.05</v>
      </c>
      <c r="Q85" s="365">
        <v>0.34</v>
      </c>
      <c r="R85" s="365">
        <v>0.2</v>
      </c>
    </row>
    <row r="86" spans="3:18">
      <c r="C86" s="13" t="s">
        <v>150</v>
      </c>
      <c r="D86" s="284">
        <v>0.1</v>
      </c>
      <c r="E86" s="365">
        <v>0.28000000000000003</v>
      </c>
      <c r="F86" s="365">
        <v>0.04</v>
      </c>
      <c r="G86" s="365">
        <v>0.1</v>
      </c>
      <c r="H86" s="365">
        <v>0.48</v>
      </c>
      <c r="I86" s="366">
        <v>0.15</v>
      </c>
      <c r="J86" s="365">
        <v>0.15</v>
      </c>
      <c r="K86" s="365">
        <v>0</v>
      </c>
      <c r="L86" s="365">
        <v>0.7</v>
      </c>
      <c r="M86" s="365">
        <v>0</v>
      </c>
      <c r="N86" s="366">
        <v>0.17</v>
      </c>
      <c r="O86" s="365">
        <v>0.24</v>
      </c>
      <c r="P86" s="365">
        <v>0.05</v>
      </c>
      <c r="Q86" s="365">
        <v>0.34</v>
      </c>
      <c r="R86" s="365">
        <v>0.2</v>
      </c>
    </row>
    <row r="87" spans="3:18" ht="15">
      <c r="C87" s="357" t="s">
        <v>432</v>
      </c>
      <c r="D87" s="137"/>
      <c r="E87" s="185"/>
      <c r="F87" s="185"/>
      <c r="G87" s="185"/>
      <c r="H87" s="185"/>
      <c r="I87" s="364"/>
      <c r="J87" s="185"/>
      <c r="K87" s="185"/>
      <c r="L87" s="185"/>
      <c r="M87" s="185"/>
      <c r="N87" s="364"/>
      <c r="O87" s="185"/>
      <c r="P87" s="185"/>
      <c r="Q87" s="185"/>
      <c r="R87" s="185"/>
    </row>
    <row r="88" spans="3:18">
      <c r="C88" s="13" t="s">
        <v>433</v>
      </c>
      <c r="D88" s="284">
        <v>0</v>
      </c>
      <c r="E88" s="365">
        <v>0.47</v>
      </c>
      <c r="F88" s="365">
        <v>0.5</v>
      </c>
      <c r="G88" s="365">
        <v>0</v>
      </c>
      <c r="H88" s="365">
        <v>0.3</v>
      </c>
      <c r="I88" s="366">
        <v>0.18</v>
      </c>
      <c r="J88" s="365">
        <v>0.08</v>
      </c>
      <c r="K88" s="365">
        <v>7.0000000000000007E-2</v>
      </c>
      <c r="L88" s="365">
        <v>0.67</v>
      </c>
      <c r="M88" s="365">
        <v>0</v>
      </c>
      <c r="N88" s="366">
        <v>0.14000000000000001</v>
      </c>
      <c r="O88" s="365">
        <v>0.1</v>
      </c>
      <c r="P88" s="365">
        <v>0.03</v>
      </c>
      <c r="Q88" s="365">
        <v>0.68</v>
      </c>
      <c r="R88" s="365">
        <v>0.05</v>
      </c>
    </row>
    <row r="89" spans="3:18">
      <c r="C89" s="13" t="s">
        <v>96</v>
      </c>
      <c r="D89" s="284">
        <v>0</v>
      </c>
      <c r="E89" s="365">
        <v>0.47</v>
      </c>
      <c r="F89" s="365">
        <v>0.1</v>
      </c>
      <c r="G89" s="365">
        <v>0.1</v>
      </c>
      <c r="H89" s="365">
        <v>0.33</v>
      </c>
      <c r="I89" s="366">
        <v>0.18</v>
      </c>
      <c r="J89" s="365">
        <v>0.08</v>
      </c>
      <c r="K89" s="365">
        <v>7.0000000000000007E-2</v>
      </c>
      <c r="L89" s="365">
        <v>0.67</v>
      </c>
      <c r="M89" s="365">
        <v>0</v>
      </c>
      <c r="N89" s="366">
        <v>0.14000000000000001</v>
      </c>
      <c r="O89" s="365">
        <v>0.1</v>
      </c>
      <c r="P89" s="365">
        <v>0.03</v>
      </c>
      <c r="Q89" s="365">
        <v>0.53</v>
      </c>
      <c r="R89" s="365">
        <v>0.2</v>
      </c>
    </row>
    <row r="90" spans="3:18">
      <c r="C90" s="13" t="s">
        <v>97</v>
      </c>
      <c r="D90" s="284">
        <v>0</v>
      </c>
      <c r="E90" s="365">
        <v>0.47</v>
      </c>
      <c r="F90" s="365">
        <v>0</v>
      </c>
      <c r="G90" s="365">
        <v>0.1</v>
      </c>
      <c r="H90" s="365">
        <v>0.43</v>
      </c>
      <c r="I90" s="366">
        <v>0.18</v>
      </c>
      <c r="J90" s="365">
        <v>0.08</v>
      </c>
      <c r="K90" s="365">
        <v>0</v>
      </c>
      <c r="L90" s="365">
        <v>0.74</v>
      </c>
      <c r="M90" s="365">
        <v>0</v>
      </c>
      <c r="N90" s="366">
        <v>0.14000000000000001</v>
      </c>
      <c r="O90" s="365">
        <v>0.1</v>
      </c>
      <c r="P90" s="365">
        <v>0.03</v>
      </c>
      <c r="Q90" s="365">
        <v>0.53</v>
      </c>
      <c r="R90" s="365">
        <v>0.2</v>
      </c>
    </row>
    <row r="91" spans="3:18">
      <c r="C91" s="13" t="s">
        <v>132</v>
      </c>
      <c r="D91" s="284">
        <v>0</v>
      </c>
      <c r="E91" s="365">
        <v>0.47</v>
      </c>
      <c r="F91" s="365">
        <v>0</v>
      </c>
      <c r="G91" s="365">
        <v>0.1</v>
      </c>
      <c r="H91" s="365">
        <v>0.43</v>
      </c>
      <c r="I91" s="366">
        <v>0.18</v>
      </c>
      <c r="J91" s="365">
        <v>0.08</v>
      </c>
      <c r="K91" s="365">
        <v>0</v>
      </c>
      <c r="L91" s="365">
        <v>0.74</v>
      </c>
      <c r="M91" s="365">
        <v>0</v>
      </c>
      <c r="N91" s="366">
        <v>0.14000000000000001</v>
      </c>
      <c r="O91" s="365">
        <v>0.1</v>
      </c>
      <c r="P91" s="365">
        <v>0.03</v>
      </c>
      <c r="Q91" s="365">
        <v>0.53</v>
      </c>
      <c r="R91" s="365">
        <v>0.2</v>
      </c>
    </row>
    <row r="92" spans="3:18">
      <c r="C92" s="13" t="s">
        <v>49</v>
      </c>
      <c r="D92" s="284">
        <v>0</v>
      </c>
      <c r="E92" s="365">
        <v>0.47</v>
      </c>
      <c r="F92" s="365">
        <v>0</v>
      </c>
      <c r="G92" s="365">
        <v>0.1</v>
      </c>
      <c r="H92" s="365">
        <v>0.43</v>
      </c>
      <c r="I92" s="366">
        <v>0.18</v>
      </c>
      <c r="J92" s="365">
        <v>0.08</v>
      </c>
      <c r="K92" s="365">
        <v>0</v>
      </c>
      <c r="L92" s="365">
        <v>0.74</v>
      </c>
      <c r="M92" s="365">
        <v>0</v>
      </c>
      <c r="N92" s="366">
        <v>0.14000000000000001</v>
      </c>
      <c r="O92" s="365">
        <v>0.1</v>
      </c>
      <c r="P92" s="365">
        <v>0.03</v>
      </c>
      <c r="Q92" s="365">
        <v>0.53</v>
      </c>
      <c r="R92" s="365">
        <v>0.2</v>
      </c>
    </row>
    <row r="93" spans="3:18">
      <c r="C93" s="13" t="s">
        <v>104</v>
      </c>
      <c r="D93" s="284">
        <v>0.2</v>
      </c>
      <c r="E93" s="365">
        <v>0</v>
      </c>
      <c r="F93" s="365">
        <v>0.5</v>
      </c>
      <c r="G93" s="365">
        <v>0.3</v>
      </c>
      <c r="H93" s="365">
        <v>0</v>
      </c>
      <c r="I93" s="366">
        <v>0</v>
      </c>
      <c r="J93" s="365">
        <v>0</v>
      </c>
      <c r="K93" s="365">
        <v>0.1</v>
      </c>
      <c r="L93" s="365">
        <v>0.9</v>
      </c>
      <c r="M93" s="365">
        <v>0</v>
      </c>
      <c r="N93" s="366">
        <v>0.1</v>
      </c>
      <c r="O93" s="365">
        <v>0</v>
      </c>
      <c r="P93" s="365">
        <v>0</v>
      </c>
      <c r="Q93" s="365">
        <v>0.9</v>
      </c>
      <c r="R93" s="365">
        <v>0</v>
      </c>
    </row>
    <row r="94" spans="3:18" ht="15">
      <c r="C94" s="357" t="s">
        <v>435</v>
      </c>
      <c r="D94" s="137"/>
      <c r="E94" s="185"/>
      <c r="F94" s="185"/>
      <c r="G94" s="185"/>
      <c r="H94" s="185"/>
      <c r="I94" s="364"/>
      <c r="J94" s="185"/>
      <c r="K94" s="185"/>
      <c r="L94" s="185"/>
      <c r="M94" s="185"/>
      <c r="N94" s="364"/>
      <c r="O94" s="185"/>
      <c r="P94" s="185"/>
      <c r="Q94" s="185"/>
      <c r="R94" s="185"/>
    </row>
    <row r="95" spans="3:18">
      <c r="C95" s="13" t="s">
        <v>143</v>
      </c>
      <c r="D95" s="284">
        <v>0.3</v>
      </c>
      <c r="E95" s="365">
        <v>0.1</v>
      </c>
      <c r="F95" s="365">
        <v>0</v>
      </c>
      <c r="G95" s="365">
        <v>0.6</v>
      </c>
      <c r="H95" s="365">
        <v>0</v>
      </c>
      <c r="I95" s="366">
        <v>0.1</v>
      </c>
      <c r="J95" s="365">
        <v>0</v>
      </c>
      <c r="K95" s="365">
        <v>0</v>
      </c>
      <c r="L95" s="365">
        <v>0.9</v>
      </c>
      <c r="M95" s="365">
        <v>0</v>
      </c>
      <c r="N95" s="367"/>
      <c r="O95" s="42"/>
      <c r="P95" s="42"/>
      <c r="Q95" s="42"/>
      <c r="R95" s="42"/>
    </row>
    <row r="96" spans="3:18">
      <c r="C96" s="13" t="s">
        <v>86</v>
      </c>
      <c r="D96" s="284">
        <v>0.2</v>
      </c>
      <c r="E96" s="365">
        <v>0</v>
      </c>
      <c r="F96" s="365">
        <v>0</v>
      </c>
      <c r="G96" s="365">
        <v>0.8</v>
      </c>
      <c r="H96" s="365">
        <v>0</v>
      </c>
      <c r="I96" s="366">
        <v>0.05</v>
      </c>
      <c r="J96" s="365">
        <v>0</v>
      </c>
      <c r="K96" s="365">
        <v>0</v>
      </c>
      <c r="L96" s="365">
        <v>0.95</v>
      </c>
      <c r="M96" s="365">
        <v>0</v>
      </c>
      <c r="N96" s="367"/>
      <c r="O96" s="42"/>
      <c r="P96" s="42"/>
      <c r="Q96" s="42"/>
      <c r="R96" s="42"/>
    </row>
    <row r="97" spans="3:18">
      <c r="C97" s="13" t="s">
        <v>166</v>
      </c>
      <c r="D97" s="284">
        <v>0.11</v>
      </c>
      <c r="E97" s="365">
        <v>0</v>
      </c>
      <c r="F97" s="365">
        <v>0</v>
      </c>
      <c r="G97" s="365">
        <v>0.89</v>
      </c>
      <c r="H97" s="365">
        <v>0</v>
      </c>
      <c r="I97" s="366">
        <v>0</v>
      </c>
      <c r="J97" s="365">
        <v>0</v>
      </c>
      <c r="K97" s="365">
        <v>0</v>
      </c>
      <c r="L97" s="365">
        <v>1</v>
      </c>
      <c r="M97" s="365">
        <v>0</v>
      </c>
      <c r="N97" s="367"/>
      <c r="O97" s="42"/>
      <c r="P97" s="42"/>
      <c r="Q97" s="42"/>
      <c r="R97" s="42"/>
    </row>
    <row r="98" spans="3:18">
      <c r="C98" s="13" t="s">
        <v>83</v>
      </c>
      <c r="D98" s="284">
        <v>0.37</v>
      </c>
      <c r="E98" s="365">
        <v>0</v>
      </c>
      <c r="F98" s="365">
        <v>0</v>
      </c>
      <c r="G98" s="365">
        <v>0.63</v>
      </c>
      <c r="H98" s="365">
        <v>0</v>
      </c>
      <c r="I98" s="366">
        <v>0</v>
      </c>
      <c r="J98" s="365">
        <v>0</v>
      </c>
      <c r="K98" s="365">
        <v>0</v>
      </c>
      <c r="L98" s="365">
        <v>1</v>
      </c>
      <c r="M98" s="365">
        <v>0</v>
      </c>
      <c r="N98" s="367"/>
      <c r="O98" s="42"/>
      <c r="P98" s="42"/>
      <c r="Q98" s="42"/>
      <c r="R98" s="42"/>
    </row>
    <row r="99" spans="3:18">
      <c r="C99" s="13" t="s">
        <v>102</v>
      </c>
      <c r="D99" s="284">
        <v>0.42</v>
      </c>
      <c r="E99" s="365">
        <v>0</v>
      </c>
      <c r="F99" s="365">
        <v>0</v>
      </c>
      <c r="G99" s="365">
        <v>0.57999999999999996</v>
      </c>
      <c r="H99" s="365">
        <v>0</v>
      </c>
      <c r="I99" s="366">
        <v>0.04</v>
      </c>
      <c r="J99" s="365">
        <v>0</v>
      </c>
      <c r="K99" s="365">
        <v>0</v>
      </c>
      <c r="L99" s="365">
        <v>0.96</v>
      </c>
      <c r="M99" s="365">
        <v>0</v>
      </c>
      <c r="N99" s="367"/>
      <c r="O99" s="42"/>
      <c r="P99" s="42"/>
      <c r="Q99" s="42"/>
      <c r="R99" s="42"/>
    </row>
    <row r="100" spans="3:18" ht="15">
      <c r="C100" s="357" t="s">
        <v>270</v>
      </c>
      <c r="D100" s="137"/>
      <c r="E100" s="185"/>
      <c r="F100" s="185"/>
      <c r="G100" s="185"/>
      <c r="H100" s="185"/>
      <c r="I100" s="364"/>
      <c r="J100" s="185"/>
      <c r="K100" s="185"/>
      <c r="L100" s="185"/>
      <c r="M100" s="185"/>
      <c r="N100" s="364"/>
      <c r="O100" s="185"/>
      <c r="P100" s="185"/>
      <c r="Q100" s="185"/>
      <c r="R100" s="185"/>
    </row>
    <row r="101" spans="3:18">
      <c r="C101" s="13" t="s">
        <v>168</v>
      </c>
      <c r="D101" s="284">
        <v>0.9</v>
      </c>
      <c r="E101" s="365">
        <v>0.02</v>
      </c>
      <c r="F101" s="365">
        <v>0</v>
      </c>
      <c r="G101" s="365">
        <v>0.08</v>
      </c>
      <c r="H101" s="365">
        <v>0</v>
      </c>
      <c r="I101" s="366">
        <v>0.05</v>
      </c>
      <c r="J101" s="365">
        <v>0</v>
      </c>
      <c r="K101" s="365">
        <v>0</v>
      </c>
      <c r="L101" s="365">
        <v>0.95</v>
      </c>
      <c r="M101" s="365">
        <v>0</v>
      </c>
      <c r="N101" s="367"/>
      <c r="O101" s="42"/>
      <c r="P101" s="42"/>
      <c r="Q101" s="42"/>
      <c r="R101" s="42"/>
    </row>
    <row r="102" spans="3:18">
      <c r="C102" s="13" t="s">
        <v>61</v>
      </c>
      <c r="D102" s="284">
        <v>0.9</v>
      </c>
      <c r="E102" s="365">
        <v>0.02</v>
      </c>
      <c r="F102" s="365">
        <v>0</v>
      </c>
      <c r="G102" s="365">
        <v>0.08</v>
      </c>
      <c r="H102" s="365">
        <v>0</v>
      </c>
      <c r="I102" s="366">
        <v>0.05</v>
      </c>
      <c r="J102" s="365">
        <v>0</v>
      </c>
      <c r="K102" s="365">
        <v>0</v>
      </c>
      <c r="L102" s="365">
        <v>0.95</v>
      </c>
      <c r="M102" s="365">
        <v>0</v>
      </c>
      <c r="N102" s="367"/>
      <c r="O102" s="42"/>
      <c r="P102" s="42"/>
      <c r="Q102" s="42"/>
      <c r="R102" s="42"/>
    </row>
    <row r="103" spans="3:18">
      <c r="C103" s="13" t="s">
        <v>118</v>
      </c>
      <c r="D103" s="284">
        <v>0</v>
      </c>
      <c r="E103" s="365">
        <v>0.45</v>
      </c>
      <c r="F103" s="365">
        <v>0</v>
      </c>
      <c r="G103" s="365">
        <v>0.1</v>
      </c>
      <c r="H103" s="365">
        <v>0.45</v>
      </c>
      <c r="I103" s="366">
        <v>0</v>
      </c>
      <c r="J103" s="365">
        <v>0.2</v>
      </c>
      <c r="K103" s="365">
        <v>0</v>
      </c>
      <c r="L103" s="365">
        <v>0.8</v>
      </c>
      <c r="M103" s="365">
        <v>0</v>
      </c>
      <c r="N103" s="366">
        <v>0</v>
      </c>
      <c r="O103" s="365">
        <v>0.4</v>
      </c>
      <c r="P103" s="365">
        <v>0</v>
      </c>
      <c r="Q103" s="365">
        <v>0.4</v>
      </c>
      <c r="R103" s="365">
        <v>0.2</v>
      </c>
    </row>
    <row r="104" spans="3:18" ht="15">
      <c r="C104" s="357" t="s">
        <v>436</v>
      </c>
      <c r="D104" s="137"/>
      <c r="E104" s="185"/>
      <c r="F104" s="185"/>
      <c r="G104" s="185"/>
      <c r="H104" s="185"/>
      <c r="I104" s="364"/>
      <c r="J104" s="185"/>
      <c r="K104" s="185"/>
      <c r="L104" s="185"/>
      <c r="M104" s="185"/>
      <c r="N104" s="364"/>
      <c r="O104" s="185"/>
      <c r="P104" s="185"/>
      <c r="Q104" s="185"/>
      <c r="R104" s="185"/>
    </row>
    <row r="105" spans="3:18">
      <c r="C105" s="13" t="s">
        <v>56</v>
      </c>
      <c r="D105" s="284">
        <v>0</v>
      </c>
      <c r="E105" s="365">
        <v>0.45</v>
      </c>
      <c r="F105" s="365">
        <v>0</v>
      </c>
      <c r="G105" s="365">
        <v>0.1</v>
      </c>
      <c r="H105" s="365">
        <v>0.45</v>
      </c>
      <c r="I105" s="366">
        <v>0</v>
      </c>
      <c r="J105" s="365">
        <v>0.2</v>
      </c>
      <c r="K105" s="365">
        <v>0</v>
      </c>
      <c r="L105" s="365">
        <v>0.8</v>
      </c>
      <c r="M105" s="365">
        <v>0</v>
      </c>
      <c r="N105" s="366">
        <v>0</v>
      </c>
      <c r="O105" s="365">
        <v>0.4</v>
      </c>
      <c r="P105" s="365">
        <v>0</v>
      </c>
      <c r="Q105" s="365">
        <v>0.4</v>
      </c>
      <c r="R105" s="365">
        <v>0.2</v>
      </c>
    </row>
    <row r="106" spans="3:18" ht="15">
      <c r="C106" s="357" t="s">
        <v>437</v>
      </c>
      <c r="D106" s="137"/>
      <c r="E106" s="185"/>
      <c r="F106" s="185"/>
      <c r="G106" s="185"/>
      <c r="H106" s="185"/>
      <c r="I106" s="364"/>
      <c r="J106" s="185"/>
      <c r="K106" s="185"/>
      <c r="L106" s="185"/>
      <c r="M106" s="185"/>
      <c r="N106" s="364"/>
      <c r="O106" s="185"/>
      <c r="P106" s="185"/>
      <c r="Q106" s="185"/>
      <c r="R106" s="185"/>
    </row>
    <row r="107" spans="3:18">
      <c r="C107" s="13" t="s">
        <v>45</v>
      </c>
      <c r="D107" s="284">
        <v>0.9</v>
      </c>
      <c r="E107" s="365">
        <v>0.02</v>
      </c>
      <c r="F107" s="365">
        <v>0</v>
      </c>
      <c r="G107" s="365">
        <v>0.08</v>
      </c>
      <c r="H107" s="365">
        <v>0</v>
      </c>
      <c r="I107" s="366">
        <v>0.05</v>
      </c>
      <c r="J107" s="365">
        <v>0</v>
      </c>
      <c r="K107" s="365">
        <v>0</v>
      </c>
      <c r="L107" s="365">
        <v>0.95</v>
      </c>
      <c r="M107" s="365">
        <v>0</v>
      </c>
      <c r="N107" s="367"/>
      <c r="O107" s="42"/>
      <c r="P107" s="42"/>
      <c r="Q107" s="42"/>
      <c r="R107" s="42"/>
    </row>
    <row r="108" spans="3:18">
      <c r="C108" s="35" t="s">
        <v>127</v>
      </c>
      <c r="D108" s="285">
        <v>0.9</v>
      </c>
      <c r="E108" s="368">
        <v>0.02</v>
      </c>
      <c r="F108" s="368">
        <v>0</v>
      </c>
      <c r="G108" s="368">
        <v>0.08</v>
      </c>
      <c r="H108" s="368">
        <v>0</v>
      </c>
      <c r="I108" s="369">
        <v>0.05</v>
      </c>
      <c r="J108" s="368">
        <v>0</v>
      </c>
      <c r="K108" s="368">
        <v>0</v>
      </c>
      <c r="L108" s="368">
        <v>0.95</v>
      </c>
      <c r="M108" s="368">
        <v>0</v>
      </c>
      <c r="N108" s="207"/>
      <c r="O108" s="46"/>
      <c r="P108" s="46"/>
      <c r="Q108" s="46"/>
      <c r="R108" s="46"/>
    </row>
    <row r="109" spans="3:18">
      <c r="C109" s="13" t="s">
        <v>458</v>
      </c>
    </row>
    <row r="111" spans="3:18" s="31" customFormat="1" ht="18">
      <c r="C111" s="198" t="s">
        <v>575</v>
      </c>
      <c r="E111" s="199"/>
    </row>
    <row r="112" spans="3:18" s="31" customFormat="1" ht="12.75" customHeight="1">
      <c r="C112" s="40" t="s">
        <v>504</v>
      </c>
      <c r="E112" s="199"/>
    </row>
    <row r="113" spans="3:7" s="194" customFormat="1" ht="16.5" customHeight="1">
      <c r="C113" s="200" t="s">
        <v>13</v>
      </c>
      <c r="D113" s="201" t="s">
        <v>558</v>
      </c>
      <c r="E113" s="202" t="s">
        <v>559</v>
      </c>
      <c r="F113" s="201" t="s">
        <v>560</v>
      </c>
      <c r="G113" s="203" t="s">
        <v>561</v>
      </c>
    </row>
    <row r="114" spans="3:7" s="31" customFormat="1">
      <c r="C114" s="204" t="s">
        <v>506</v>
      </c>
      <c r="D114" s="205">
        <v>1</v>
      </c>
      <c r="E114" s="206">
        <v>21</v>
      </c>
      <c r="F114" s="205">
        <v>310</v>
      </c>
      <c r="G114" s="207"/>
    </row>
    <row r="115" spans="3:7" s="31" customFormat="1">
      <c r="C115" s="31" t="s">
        <v>507</v>
      </c>
      <c r="D115" s="199">
        <v>73300</v>
      </c>
      <c r="E115" s="208">
        <v>3</v>
      </c>
      <c r="F115" s="209">
        <v>0.6</v>
      </c>
      <c r="G115" s="210">
        <f>D115+E115*$E$114+F115*$F$114</f>
        <v>73549</v>
      </c>
    </row>
    <row r="116" spans="3:7" s="31" customFormat="1">
      <c r="C116" s="31" t="s">
        <v>508</v>
      </c>
      <c r="D116" s="199">
        <v>77000</v>
      </c>
      <c r="E116" s="208">
        <v>3</v>
      </c>
      <c r="F116" s="209">
        <v>0.6</v>
      </c>
      <c r="G116" s="210">
        <f t="shared" ref="G116:G167" si="20">D116+E116*$E$114+F116*$F$114</f>
        <v>77249</v>
      </c>
    </row>
    <row r="117" spans="3:7" s="31" customFormat="1">
      <c r="C117" s="31" t="s">
        <v>509</v>
      </c>
      <c r="D117" s="199">
        <v>64200</v>
      </c>
      <c r="E117" s="208">
        <v>3</v>
      </c>
      <c r="F117" s="209">
        <v>0.6</v>
      </c>
      <c r="G117" s="210">
        <f t="shared" si="20"/>
        <v>64449</v>
      </c>
    </row>
    <row r="118" spans="3:7" s="31" customFormat="1">
      <c r="C118" s="31" t="s">
        <v>510</v>
      </c>
      <c r="D118" s="199">
        <v>69300</v>
      </c>
      <c r="E118" s="208">
        <v>3</v>
      </c>
      <c r="F118" s="209">
        <v>0.6</v>
      </c>
      <c r="G118" s="210">
        <f t="shared" si="20"/>
        <v>69549</v>
      </c>
    </row>
    <row r="119" spans="3:7" s="31" customFormat="1">
      <c r="C119" s="31" t="s">
        <v>511</v>
      </c>
      <c r="D119" s="199">
        <v>70000</v>
      </c>
      <c r="E119" s="208">
        <v>3</v>
      </c>
      <c r="F119" s="209">
        <v>0.6</v>
      </c>
      <c r="G119" s="210">
        <f t="shared" si="20"/>
        <v>70249</v>
      </c>
    </row>
    <row r="120" spans="3:7" s="31" customFormat="1">
      <c r="C120" s="31" t="s">
        <v>512</v>
      </c>
      <c r="D120" s="199">
        <v>70000</v>
      </c>
      <c r="E120" s="208">
        <v>3</v>
      </c>
      <c r="F120" s="209">
        <v>0.6</v>
      </c>
      <c r="G120" s="210">
        <f t="shared" si="20"/>
        <v>70249</v>
      </c>
    </row>
    <row r="121" spans="3:7" s="31" customFormat="1">
      <c r="C121" s="31" t="s">
        <v>513</v>
      </c>
      <c r="D121" s="199">
        <v>71500</v>
      </c>
      <c r="E121" s="208">
        <v>3</v>
      </c>
      <c r="F121" s="209">
        <v>0.6</v>
      </c>
      <c r="G121" s="210">
        <f t="shared" si="20"/>
        <v>71749</v>
      </c>
    </row>
    <row r="122" spans="3:7" s="31" customFormat="1">
      <c r="C122" s="31" t="s">
        <v>514</v>
      </c>
      <c r="D122" s="199">
        <v>71900</v>
      </c>
      <c r="E122" s="208">
        <v>3</v>
      </c>
      <c r="F122" s="209">
        <v>0.6</v>
      </c>
      <c r="G122" s="210">
        <f t="shared" si="20"/>
        <v>72149</v>
      </c>
    </row>
    <row r="123" spans="3:7" s="31" customFormat="1">
      <c r="C123" s="31" t="s">
        <v>515</v>
      </c>
      <c r="D123" s="199">
        <v>73300</v>
      </c>
      <c r="E123" s="208">
        <v>3</v>
      </c>
      <c r="F123" s="209">
        <v>0.6</v>
      </c>
      <c r="G123" s="210">
        <f t="shared" si="20"/>
        <v>73549</v>
      </c>
    </row>
    <row r="124" spans="3:7" s="31" customFormat="1">
      <c r="C124" s="31" t="s">
        <v>516</v>
      </c>
      <c r="D124" s="199">
        <v>74100</v>
      </c>
      <c r="E124" s="208">
        <v>3</v>
      </c>
      <c r="F124" s="209">
        <v>0.6</v>
      </c>
      <c r="G124" s="210">
        <f t="shared" si="20"/>
        <v>74349</v>
      </c>
    </row>
    <row r="125" spans="3:7" s="31" customFormat="1">
      <c r="C125" s="31" t="s">
        <v>517</v>
      </c>
      <c r="D125" s="199">
        <v>77400</v>
      </c>
      <c r="E125" s="208">
        <v>3</v>
      </c>
      <c r="F125" s="209">
        <v>0.6</v>
      </c>
      <c r="G125" s="210">
        <f t="shared" si="20"/>
        <v>77649</v>
      </c>
    </row>
    <row r="126" spans="3:7" s="31" customFormat="1">
      <c r="C126" s="31" t="s">
        <v>518</v>
      </c>
      <c r="D126" s="199">
        <v>63100</v>
      </c>
      <c r="E126" s="208">
        <v>1</v>
      </c>
      <c r="F126" s="209">
        <v>0.1</v>
      </c>
      <c r="G126" s="210">
        <f t="shared" si="20"/>
        <v>63152</v>
      </c>
    </row>
    <row r="127" spans="3:7" s="31" customFormat="1">
      <c r="C127" s="31" t="s">
        <v>519</v>
      </c>
      <c r="D127" s="199">
        <v>61600</v>
      </c>
      <c r="E127" s="208">
        <v>1</v>
      </c>
      <c r="F127" s="209">
        <v>0.1</v>
      </c>
      <c r="G127" s="210">
        <f t="shared" si="20"/>
        <v>61652</v>
      </c>
    </row>
    <row r="128" spans="3:7" s="31" customFormat="1">
      <c r="C128" s="31" t="s">
        <v>520</v>
      </c>
      <c r="D128" s="199">
        <v>73300</v>
      </c>
      <c r="E128" s="208">
        <v>3</v>
      </c>
      <c r="F128" s="209">
        <v>0.6</v>
      </c>
      <c r="G128" s="210">
        <f t="shared" si="20"/>
        <v>73549</v>
      </c>
    </row>
    <row r="129" spans="3:7" s="31" customFormat="1">
      <c r="C129" s="31" t="s">
        <v>521</v>
      </c>
      <c r="D129" s="199">
        <v>80700</v>
      </c>
      <c r="E129" s="208">
        <v>3</v>
      </c>
      <c r="F129" s="209">
        <v>0.6</v>
      </c>
      <c r="G129" s="210">
        <f t="shared" si="20"/>
        <v>80949</v>
      </c>
    </row>
    <row r="130" spans="3:7" s="31" customFormat="1">
      <c r="C130" s="31" t="s">
        <v>522</v>
      </c>
      <c r="D130" s="199">
        <v>73300</v>
      </c>
      <c r="E130" s="208">
        <v>3</v>
      </c>
      <c r="F130" s="209">
        <v>0.6</v>
      </c>
      <c r="G130" s="210">
        <f t="shared" si="20"/>
        <v>73549</v>
      </c>
    </row>
    <row r="131" spans="3:7" s="31" customFormat="1">
      <c r="C131" s="193" t="s">
        <v>523</v>
      </c>
      <c r="D131" s="199">
        <v>97500</v>
      </c>
      <c r="E131" s="208">
        <v>3</v>
      </c>
      <c r="F131" s="209">
        <v>0.6</v>
      </c>
      <c r="G131" s="210">
        <f t="shared" si="20"/>
        <v>97749</v>
      </c>
    </row>
    <row r="132" spans="3:7" s="31" customFormat="1">
      <c r="C132" s="31" t="s">
        <v>524</v>
      </c>
      <c r="D132" s="199">
        <v>73300</v>
      </c>
      <c r="E132" s="208">
        <v>3</v>
      </c>
      <c r="F132" s="209">
        <v>0.6</v>
      </c>
      <c r="G132" s="210">
        <f t="shared" si="20"/>
        <v>73549</v>
      </c>
    </row>
    <row r="133" spans="3:7" s="31" customFormat="1">
      <c r="C133" s="31" t="s">
        <v>525</v>
      </c>
      <c r="D133" s="199">
        <v>57600</v>
      </c>
      <c r="E133" s="208">
        <v>1</v>
      </c>
      <c r="F133" s="209">
        <v>0.1</v>
      </c>
      <c r="G133" s="210">
        <f t="shared" si="20"/>
        <v>57652</v>
      </c>
    </row>
    <row r="134" spans="3:7" s="31" customFormat="1">
      <c r="C134" s="31" t="s">
        <v>526</v>
      </c>
      <c r="D134" s="199">
        <v>73300</v>
      </c>
      <c r="E134" s="208">
        <v>3</v>
      </c>
      <c r="F134" s="209">
        <v>0.6</v>
      </c>
      <c r="G134" s="210">
        <f t="shared" si="20"/>
        <v>73549</v>
      </c>
    </row>
    <row r="135" spans="3:7" s="31" customFormat="1">
      <c r="C135" s="31" t="s">
        <v>527</v>
      </c>
      <c r="D135" s="199">
        <v>73300</v>
      </c>
      <c r="E135" s="208">
        <v>3</v>
      </c>
      <c r="F135" s="209">
        <v>0.6</v>
      </c>
      <c r="G135" s="210">
        <f t="shared" si="20"/>
        <v>73549</v>
      </c>
    </row>
    <row r="136" spans="3:7" s="31" customFormat="1">
      <c r="C136" s="193" t="s">
        <v>528</v>
      </c>
      <c r="D136" s="199">
        <v>73300</v>
      </c>
      <c r="E136" s="208">
        <v>3</v>
      </c>
      <c r="F136" s="209">
        <v>0.6</v>
      </c>
      <c r="G136" s="210">
        <f t="shared" si="20"/>
        <v>73549</v>
      </c>
    </row>
    <row r="137" spans="3:7" s="31" customFormat="1">
      <c r="C137" s="194" t="s">
        <v>529</v>
      </c>
      <c r="D137" s="199">
        <v>98300</v>
      </c>
      <c r="E137" s="208">
        <v>10</v>
      </c>
      <c r="F137" s="209">
        <v>1.5</v>
      </c>
      <c r="G137" s="210">
        <f t="shared" si="20"/>
        <v>98975</v>
      </c>
    </row>
    <row r="138" spans="3:7" s="31" customFormat="1">
      <c r="C138" s="31" t="s">
        <v>530</v>
      </c>
      <c r="D138" s="199">
        <v>94600</v>
      </c>
      <c r="E138" s="208">
        <v>10</v>
      </c>
      <c r="F138" s="209">
        <v>1.5</v>
      </c>
      <c r="G138" s="210">
        <f t="shared" si="20"/>
        <v>95275</v>
      </c>
    </row>
    <row r="139" spans="3:7" s="31" customFormat="1">
      <c r="C139" s="31" t="s">
        <v>531</v>
      </c>
      <c r="D139" s="199">
        <v>94600</v>
      </c>
      <c r="E139" s="208">
        <v>10</v>
      </c>
      <c r="F139" s="209">
        <v>1.5</v>
      </c>
      <c r="G139" s="210">
        <f t="shared" si="20"/>
        <v>95275</v>
      </c>
    </row>
    <row r="140" spans="3:7" s="31" customFormat="1">
      <c r="C140" s="31" t="s">
        <v>532</v>
      </c>
      <c r="D140" s="199">
        <v>96100</v>
      </c>
      <c r="E140" s="208">
        <v>10</v>
      </c>
      <c r="F140" s="209">
        <v>1.5</v>
      </c>
      <c r="G140" s="210">
        <f t="shared" si="20"/>
        <v>96775</v>
      </c>
    </row>
    <row r="141" spans="3:7" s="31" customFormat="1">
      <c r="C141" s="31" t="s">
        <v>533</v>
      </c>
      <c r="D141" s="199">
        <v>101000</v>
      </c>
      <c r="E141" s="208">
        <v>10</v>
      </c>
      <c r="F141" s="209">
        <v>1.5</v>
      </c>
      <c r="G141" s="210">
        <f t="shared" si="20"/>
        <v>101675</v>
      </c>
    </row>
    <row r="142" spans="3:7" s="31" customFormat="1">
      <c r="C142" s="31" t="s">
        <v>534</v>
      </c>
      <c r="D142" s="199">
        <v>107000</v>
      </c>
      <c r="E142" s="208">
        <v>10</v>
      </c>
      <c r="F142" s="209">
        <v>1.5</v>
      </c>
      <c r="G142" s="210">
        <f t="shared" si="20"/>
        <v>107675</v>
      </c>
    </row>
    <row r="143" spans="3:7" s="31" customFormat="1">
      <c r="C143" s="31" t="s">
        <v>535</v>
      </c>
      <c r="D143" s="199">
        <v>97500</v>
      </c>
      <c r="E143" s="208">
        <v>10</v>
      </c>
      <c r="F143" s="209">
        <v>1.5</v>
      </c>
      <c r="G143" s="210">
        <f t="shared" si="20"/>
        <v>98175</v>
      </c>
    </row>
    <row r="144" spans="3:7" s="31" customFormat="1">
      <c r="C144" s="31" t="s">
        <v>536</v>
      </c>
      <c r="D144" s="199">
        <v>97500</v>
      </c>
      <c r="E144" s="208">
        <v>10</v>
      </c>
      <c r="F144" s="209">
        <v>1.5</v>
      </c>
      <c r="G144" s="210">
        <f t="shared" si="20"/>
        <v>98175</v>
      </c>
    </row>
    <row r="145" spans="3:7" s="31" customFormat="1">
      <c r="C145" s="31" t="s">
        <v>537</v>
      </c>
      <c r="D145" s="199">
        <v>107000</v>
      </c>
      <c r="E145" s="208">
        <v>10</v>
      </c>
      <c r="F145" s="209">
        <v>1.5</v>
      </c>
      <c r="G145" s="210">
        <f t="shared" si="20"/>
        <v>107675</v>
      </c>
    </row>
    <row r="146" spans="3:7" s="31" customFormat="1">
      <c r="C146" s="31" t="s">
        <v>557</v>
      </c>
      <c r="D146" s="199">
        <v>107000</v>
      </c>
      <c r="E146" s="208">
        <v>1</v>
      </c>
      <c r="F146" s="209">
        <v>0.1</v>
      </c>
      <c r="G146" s="210">
        <f t="shared" si="20"/>
        <v>107052</v>
      </c>
    </row>
    <row r="147" spans="3:7" s="31" customFormat="1">
      <c r="C147" s="31" t="s">
        <v>538</v>
      </c>
      <c r="D147" s="199">
        <v>80700</v>
      </c>
      <c r="E147" s="208">
        <v>10</v>
      </c>
      <c r="F147" s="209">
        <v>1.5</v>
      </c>
      <c r="G147" s="210">
        <f t="shared" si="20"/>
        <v>81375</v>
      </c>
    </row>
    <row r="148" spans="3:7" s="31" customFormat="1">
      <c r="C148" s="31" t="s">
        <v>539</v>
      </c>
      <c r="D148" s="199">
        <v>44400</v>
      </c>
      <c r="E148" s="208">
        <v>1</v>
      </c>
      <c r="F148" s="209">
        <v>0.1</v>
      </c>
      <c r="G148" s="210">
        <f t="shared" si="20"/>
        <v>44452</v>
      </c>
    </row>
    <row r="149" spans="3:7" s="31" customFormat="1">
      <c r="C149" s="31" t="s">
        <v>540</v>
      </c>
      <c r="D149" s="199">
        <v>44400</v>
      </c>
      <c r="E149" s="208">
        <v>1</v>
      </c>
      <c r="F149" s="209">
        <v>0.1</v>
      </c>
      <c r="G149" s="210">
        <f t="shared" si="20"/>
        <v>44452</v>
      </c>
    </row>
    <row r="150" spans="3:7" s="31" customFormat="1">
      <c r="C150" s="31" t="s">
        <v>541</v>
      </c>
      <c r="D150" s="199">
        <v>260000</v>
      </c>
      <c r="E150" s="208">
        <v>1</v>
      </c>
      <c r="F150" s="209">
        <v>0.1</v>
      </c>
      <c r="G150" s="210">
        <f t="shared" si="20"/>
        <v>260052</v>
      </c>
    </row>
    <row r="151" spans="3:7" s="31" customFormat="1">
      <c r="C151" s="31" t="s">
        <v>542</v>
      </c>
      <c r="D151" s="199">
        <v>182000</v>
      </c>
      <c r="E151" s="208">
        <v>1</v>
      </c>
      <c r="F151" s="209">
        <v>0.1</v>
      </c>
      <c r="G151" s="210">
        <f t="shared" si="20"/>
        <v>182052</v>
      </c>
    </row>
    <row r="152" spans="3:7" s="31" customFormat="1">
      <c r="C152" s="31" t="s">
        <v>509</v>
      </c>
      <c r="D152" s="199">
        <v>56100</v>
      </c>
      <c r="E152" s="208">
        <v>1</v>
      </c>
      <c r="F152" s="209">
        <v>0.1</v>
      </c>
      <c r="G152" s="210">
        <f t="shared" si="20"/>
        <v>56152</v>
      </c>
    </row>
    <row r="153" spans="3:7" s="31" customFormat="1">
      <c r="C153" s="31" t="s">
        <v>543</v>
      </c>
      <c r="D153" s="199">
        <v>91700</v>
      </c>
      <c r="E153" s="208">
        <v>30</v>
      </c>
      <c r="F153" s="209">
        <v>4</v>
      </c>
      <c r="G153" s="210">
        <f t="shared" si="20"/>
        <v>93570</v>
      </c>
    </row>
    <row r="154" spans="3:7" s="31" customFormat="1">
      <c r="C154" s="31" t="s">
        <v>544</v>
      </c>
      <c r="D154" s="199">
        <v>143000</v>
      </c>
      <c r="E154" s="208">
        <v>30</v>
      </c>
      <c r="F154" s="209">
        <v>4</v>
      </c>
      <c r="G154" s="210">
        <f t="shared" si="20"/>
        <v>144870</v>
      </c>
    </row>
    <row r="155" spans="3:7" s="31" customFormat="1">
      <c r="C155" s="31" t="s">
        <v>545</v>
      </c>
      <c r="D155" s="199">
        <v>73300</v>
      </c>
      <c r="E155" s="208">
        <v>30</v>
      </c>
      <c r="F155" s="209">
        <v>4</v>
      </c>
      <c r="G155" s="210">
        <f t="shared" si="20"/>
        <v>75170</v>
      </c>
    </row>
    <row r="156" spans="3:7" s="31" customFormat="1">
      <c r="C156" s="31" t="s">
        <v>546</v>
      </c>
      <c r="D156" s="199">
        <v>106000</v>
      </c>
      <c r="E156" s="208">
        <v>2</v>
      </c>
      <c r="F156" s="209">
        <v>1.5</v>
      </c>
      <c r="G156" s="210">
        <f t="shared" si="20"/>
        <v>106507</v>
      </c>
    </row>
    <row r="157" spans="3:7" s="31" customFormat="1">
      <c r="C157" s="193" t="s">
        <v>276</v>
      </c>
      <c r="D157" s="199">
        <v>112000</v>
      </c>
      <c r="E157" s="208">
        <v>30</v>
      </c>
      <c r="F157" s="209">
        <v>4</v>
      </c>
      <c r="G157" s="210">
        <f t="shared" si="20"/>
        <v>113870</v>
      </c>
    </row>
    <row r="158" spans="3:7" s="31" customFormat="1">
      <c r="C158" s="195" t="s">
        <v>547</v>
      </c>
      <c r="D158" s="199">
        <v>95300</v>
      </c>
      <c r="E158" s="208">
        <v>3</v>
      </c>
      <c r="F158" s="209">
        <v>2</v>
      </c>
      <c r="G158" s="210">
        <f t="shared" si="20"/>
        <v>95983</v>
      </c>
    </row>
    <row r="159" spans="3:7" s="31" customFormat="1">
      <c r="C159" s="31" t="s">
        <v>548</v>
      </c>
      <c r="D159" s="199">
        <v>100000</v>
      </c>
      <c r="E159" s="208">
        <v>30</v>
      </c>
      <c r="F159" s="209">
        <v>4</v>
      </c>
      <c r="G159" s="210">
        <f t="shared" si="20"/>
        <v>101870</v>
      </c>
    </row>
    <row r="160" spans="3:7" s="31" customFormat="1">
      <c r="C160" s="31" t="s">
        <v>549</v>
      </c>
      <c r="D160" s="199">
        <v>112000</v>
      </c>
      <c r="E160" s="208">
        <v>200</v>
      </c>
      <c r="F160" s="209">
        <v>4</v>
      </c>
      <c r="G160" s="210">
        <f t="shared" si="20"/>
        <v>117440</v>
      </c>
    </row>
    <row r="161" spans="1:54" s="31" customFormat="1">
      <c r="C161" s="31" t="s">
        <v>550</v>
      </c>
      <c r="D161" s="199">
        <v>70800</v>
      </c>
      <c r="E161" s="208">
        <v>3</v>
      </c>
      <c r="F161" s="209">
        <v>0.6</v>
      </c>
      <c r="G161" s="210">
        <f t="shared" si="20"/>
        <v>71049</v>
      </c>
    </row>
    <row r="162" spans="1:54" s="31" customFormat="1">
      <c r="C162" s="31" t="s">
        <v>551</v>
      </c>
      <c r="D162" s="199">
        <v>70800</v>
      </c>
      <c r="E162" s="208">
        <v>3</v>
      </c>
      <c r="F162" s="209">
        <v>0.6</v>
      </c>
      <c r="G162" s="210">
        <f t="shared" si="20"/>
        <v>71049</v>
      </c>
    </row>
    <row r="163" spans="1:54" s="31" customFormat="1">
      <c r="C163" s="31" t="s">
        <v>552</v>
      </c>
      <c r="D163" s="199">
        <v>79600</v>
      </c>
      <c r="E163" s="208">
        <v>3</v>
      </c>
      <c r="F163" s="209">
        <v>0.6</v>
      </c>
      <c r="G163" s="210">
        <f t="shared" si="20"/>
        <v>79849</v>
      </c>
    </row>
    <row r="164" spans="1:54" s="31" customFormat="1">
      <c r="C164" s="31" t="s">
        <v>553</v>
      </c>
      <c r="D164" s="199">
        <v>54600</v>
      </c>
      <c r="E164" s="208">
        <v>1</v>
      </c>
      <c r="F164" s="209">
        <v>0.1</v>
      </c>
      <c r="G164" s="210">
        <f t="shared" si="20"/>
        <v>54652</v>
      </c>
    </row>
    <row r="165" spans="1:54" s="31" customFormat="1">
      <c r="C165" s="31" t="s">
        <v>554</v>
      </c>
      <c r="D165" s="199">
        <v>54600</v>
      </c>
      <c r="E165" s="208">
        <v>1</v>
      </c>
      <c r="F165" s="209">
        <v>0.1</v>
      </c>
      <c r="G165" s="210">
        <f t="shared" si="20"/>
        <v>54652</v>
      </c>
    </row>
    <row r="166" spans="1:54" s="31" customFormat="1">
      <c r="C166" s="31" t="s">
        <v>555</v>
      </c>
      <c r="D166" s="199">
        <v>54600</v>
      </c>
      <c r="E166" s="208">
        <v>1</v>
      </c>
      <c r="F166" s="209">
        <v>0.1</v>
      </c>
      <c r="G166" s="210">
        <f t="shared" si="20"/>
        <v>54652</v>
      </c>
    </row>
    <row r="167" spans="1:54" s="31" customFormat="1">
      <c r="C167" s="35" t="s">
        <v>556</v>
      </c>
      <c r="D167" s="196">
        <v>100000</v>
      </c>
      <c r="E167" s="217">
        <v>30</v>
      </c>
      <c r="F167" s="218">
        <v>4</v>
      </c>
      <c r="G167" s="219">
        <f t="shared" si="20"/>
        <v>101870</v>
      </c>
    </row>
    <row r="168" spans="1:54" s="31" customFormat="1">
      <c r="D168" s="199"/>
      <c r="E168" s="208"/>
      <c r="F168" s="209"/>
      <c r="G168" s="289"/>
    </row>
    <row r="169" spans="1:54" s="306" customFormat="1" ht="15.75">
      <c r="C169" s="283" t="s">
        <v>196</v>
      </c>
    </row>
    <row r="170" spans="1:54">
      <c r="C170" s="303" t="s">
        <v>180</v>
      </c>
    </row>
    <row r="171" spans="1:54" s="31" customFormat="1">
      <c r="A171" s="13"/>
      <c r="B171" s="13"/>
      <c r="C171" s="227" t="s">
        <v>181</v>
      </c>
      <c r="D171" s="227" t="s">
        <v>182</v>
      </c>
      <c r="E171" s="229"/>
      <c r="F171" s="229"/>
      <c r="G171" s="229"/>
      <c r="H171" s="229"/>
      <c r="I171" s="229"/>
      <c r="J171" s="229"/>
      <c r="K171" s="229"/>
      <c r="L171" s="229"/>
      <c r="M171" s="229"/>
      <c r="N171" s="229"/>
      <c r="O171" s="229"/>
      <c r="P171" s="229"/>
      <c r="Q171" s="229"/>
      <c r="R171" s="229"/>
      <c r="S171" s="229"/>
      <c r="T171" s="229"/>
      <c r="U171" s="229"/>
      <c r="V171" s="229"/>
      <c r="W171" s="229"/>
      <c r="X171" s="229"/>
      <c r="Y171" s="229"/>
      <c r="Z171" s="229"/>
      <c r="AA171" s="229"/>
      <c r="AB171" s="229"/>
      <c r="AC171" s="229"/>
      <c r="AD171" s="229"/>
      <c r="AE171" s="229"/>
      <c r="AF171" s="229"/>
      <c r="AG171" s="229"/>
      <c r="AH171" s="229"/>
      <c r="AI171" s="229"/>
      <c r="AJ171" s="229"/>
      <c r="AK171" s="229"/>
      <c r="AL171" s="229"/>
      <c r="AM171" s="229"/>
      <c r="AN171" s="229"/>
      <c r="AO171" s="229"/>
      <c r="AP171" s="229"/>
      <c r="AQ171" s="229"/>
      <c r="AR171" s="229"/>
      <c r="AS171" s="229"/>
      <c r="AT171" s="229"/>
      <c r="AU171" s="229"/>
      <c r="AV171" s="229"/>
      <c r="AW171" s="229"/>
      <c r="AX171" s="229"/>
      <c r="AY171" s="229"/>
      <c r="AZ171" s="229"/>
      <c r="BA171" s="229"/>
      <c r="BB171" s="229"/>
    </row>
    <row r="172" spans="1:54">
      <c r="C172" s="13" t="s">
        <v>183</v>
      </c>
      <c r="D172" s="13">
        <v>0.50485579999999997</v>
      </c>
    </row>
    <row r="173" spans="1:54">
      <c r="C173" s="13" t="s">
        <v>184</v>
      </c>
      <c r="D173" s="13">
        <v>0.513069</v>
      </c>
    </row>
    <row r="174" spans="1:54">
      <c r="C174" s="13" t="s">
        <v>185</v>
      </c>
      <c r="D174" s="13">
        <v>0.49541099999999999</v>
      </c>
    </row>
    <row r="175" spans="1:54">
      <c r="C175" s="13" t="s">
        <v>186</v>
      </c>
      <c r="D175" s="13">
        <v>0.33866099999999999</v>
      </c>
    </row>
    <row r="176" spans="1:54">
      <c r="C176" s="13" t="s">
        <v>187</v>
      </c>
      <c r="D176" s="13">
        <v>0.64548800000000006</v>
      </c>
    </row>
    <row r="177" spans="3:4">
      <c r="C177" s="13" t="s">
        <v>188</v>
      </c>
      <c r="D177" s="13">
        <v>0.19358649999999999</v>
      </c>
    </row>
    <row r="178" spans="3:4">
      <c r="C178" s="13" t="s">
        <v>189</v>
      </c>
      <c r="D178" s="13">
        <v>0.67047370000000006</v>
      </c>
    </row>
    <row r="179" spans="3:4">
      <c r="C179" s="13" t="s">
        <v>190</v>
      </c>
      <c r="D179" s="13">
        <v>0.4988224</v>
      </c>
    </row>
    <row r="180" spans="3:4">
      <c r="C180" s="13" t="s">
        <v>191</v>
      </c>
      <c r="D180" s="13">
        <v>0.3406189</v>
      </c>
    </row>
    <row r="181" spans="3:4">
      <c r="C181" s="13" t="s">
        <v>192</v>
      </c>
      <c r="D181" s="13">
        <v>0.7293463</v>
      </c>
    </row>
    <row r="182" spans="3:4">
      <c r="C182" s="13" t="s">
        <v>40</v>
      </c>
      <c r="D182" s="13">
        <v>3.2440199999999995E-2</v>
      </c>
    </row>
    <row r="183" spans="3:4">
      <c r="C183" s="13" t="s">
        <v>41</v>
      </c>
      <c r="D183" s="13">
        <v>0.68811820000000001</v>
      </c>
    </row>
    <row r="184" spans="3:4">
      <c r="C184" s="13" t="s">
        <v>42</v>
      </c>
      <c r="D184" s="13">
        <v>9.8200400000000007E-2</v>
      </c>
    </row>
    <row r="185" spans="3:4">
      <c r="C185" s="13" t="s">
        <v>43</v>
      </c>
      <c r="D185" s="13">
        <v>0.30336960000000002</v>
      </c>
    </row>
    <row r="186" spans="3:4">
      <c r="C186" s="13" t="s">
        <v>44</v>
      </c>
      <c r="D186" s="13">
        <v>0.13829089999999999</v>
      </c>
    </row>
    <row r="187" spans="3:4">
      <c r="C187" s="13" t="s">
        <v>45</v>
      </c>
      <c r="D187" s="13">
        <v>0.9205270000000001</v>
      </c>
    </row>
    <row r="188" spans="3:4">
      <c r="C188" s="13" t="s">
        <v>46</v>
      </c>
      <c r="D188" s="13">
        <v>0.21447099999999999</v>
      </c>
    </row>
    <row r="189" spans="3:4">
      <c r="C189" s="13" t="s">
        <v>47</v>
      </c>
      <c r="D189" s="13">
        <v>0.47347519999999998</v>
      </c>
    </row>
    <row r="190" spans="3:4">
      <c r="C190" s="13" t="s">
        <v>48</v>
      </c>
      <c r="D190" s="13">
        <v>0.82486369999999998</v>
      </c>
    </row>
    <row r="191" spans="3:4">
      <c r="C191" s="13" t="s">
        <v>49</v>
      </c>
      <c r="D191" s="13">
        <v>0.58433079999999993</v>
      </c>
    </row>
    <row r="192" spans="3:4">
      <c r="C192" s="13" t="s">
        <v>50</v>
      </c>
      <c r="D192" s="13">
        <v>0.2963771</v>
      </c>
    </row>
    <row r="193" spans="3:4">
      <c r="C193" s="13" t="s">
        <v>51</v>
      </c>
      <c r="D193" s="13">
        <v>0.26003599999999999</v>
      </c>
    </row>
    <row r="194" spans="3:4">
      <c r="C194" s="13" t="s">
        <v>52</v>
      </c>
      <c r="D194" s="13">
        <v>0.69621259999999996</v>
      </c>
    </row>
    <row r="195" spans="3:4">
      <c r="C195" s="13" t="s">
        <v>53</v>
      </c>
      <c r="D195" s="13">
        <v>0.5049688</v>
      </c>
    </row>
    <row r="196" spans="3:4">
      <c r="C196" s="13" t="s">
        <v>54</v>
      </c>
      <c r="D196" s="13">
        <v>0.80195799999999995</v>
      </c>
    </row>
    <row r="197" spans="3:4">
      <c r="C197" s="13" t="s">
        <v>55</v>
      </c>
      <c r="D197" s="13">
        <v>1.8514538999999999</v>
      </c>
    </row>
    <row r="198" spans="3:4">
      <c r="C198" s="13" t="s">
        <v>56</v>
      </c>
      <c r="D198" s="13">
        <v>8.1437599999999999E-2</v>
      </c>
    </row>
    <row r="199" spans="3:4">
      <c r="C199" s="13" t="s">
        <v>57</v>
      </c>
      <c r="D199" s="13">
        <v>0.82100490000000004</v>
      </c>
    </row>
    <row r="200" spans="3:4">
      <c r="C200" s="13" t="s">
        <v>58</v>
      </c>
      <c r="D200" s="13">
        <v>0.44796179999999997</v>
      </c>
    </row>
    <row r="201" spans="3:4">
      <c r="C201" s="13" t="s">
        <v>59</v>
      </c>
      <c r="D201" s="13">
        <v>1.0049344</v>
      </c>
    </row>
    <row r="202" spans="3:4">
      <c r="C202" s="13" t="s">
        <v>60</v>
      </c>
      <c r="D202" s="13">
        <v>4.2535699999999996E-2</v>
      </c>
    </row>
    <row r="203" spans="3:4">
      <c r="C203" s="13" t="s">
        <v>61</v>
      </c>
      <c r="D203" s="13">
        <v>0.18417900000000001</v>
      </c>
    </row>
    <row r="204" spans="3:4">
      <c r="C204" s="13" t="s">
        <v>62</v>
      </c>
      <c r="D204" s="13">
        <v>0.29424250000000002</v>
      </c>
    </row>
    <row r="205" spans="3:4">
      <c r="C205" s="13" t="s">
        <v>135</v>
      </c>
      <c r="D205" s="13">
        <v>0.7875875</v>
      </c>
    </row>
    <row r="206" spans="3:4">
      <c r="C206" s="13" t="s">
        <v>63</v>
      </c>
      <c r="D206" s="13">
        <v>0.65888190000000002</v>
      </c>
    </row>
    <row r="207" spans="3:4">
      <c r="C207" s="13" t="s">
        <v>64</v>
      </c>
      <c r="D207" s="13">
        <v>0.14961720000000001</v>
      </c>
    </row>
    <row r="208" spans="3:4">
      <c r="C208" s="13" t="s">
        <v>65</v>
      </c>
      <c r="D208" s="13">
        <v>0.1023289</v>
      </c>
    </row>
    <row r="209" spans="3:4">
      <c r="C209" s="13" t="s">
        <v>73</v>
      </c>
      <c r="D209" s="13">
        <v>2.7816E-3</v>
      </c>
    </row>
    <row r="210" spans="3:4">
      <c r="C210" s="13" t="s">
        <v>66</v>
      </c>
      <c r="D210" s="13">
        <v>4.7398499999999996E-2</v>
      </c>
    </row>
    <row r="211" spans="3:4">
      <c r="C211" s="13" t="s">
        <v>67</v>
      </c>
      <c r="D211" s="13">
        <v>0.43621719999999997</v>
      </c>
    </row>
    <row r="212" spans="3:4">
      <c r="C212" s="13" t="s">
        <v>68</v>
      </c>
      <c r="D212" s="13">
        <v>0.31839800000000001</v>
      </c>
    </row>
    <row r="213" spans="3:4">
      <c r="C213" s="13" t="s">
        <v>69</v>
      </c>
      <c r="D213" s="13">
        <v>1.0194388999999999</v>
      </c>
    </row>
    <row r="214" spans="3:4">
      <c r="C214" s="13" t="s">
        <v>70</v>
      </c>
      <c r="D214" s="13">
        <v>0.75828020000000007</v>
      </c>
    </row>
    <row r="215" spans="3:4">
      <c r="C215" s="13" t="s">
        <v>71</v>
      </c>
      <c r="D215" s="13">
        <v>0.52662900000000001</v>
      </c>
    </row>
    <row r="216" spans="3:4">
      <c r="C216" s="13" t="s">
        <v>74</v>
      </c>
      <c r="D216" s="13">
        <v>0.341339</v>
      </c>
    </row>
    <row r="217" spans="3:4">
      <c r="C217" s="13" t="s">
        <v>75</v>
      </c>
      <c r="D217" s="13">
        <v>0.6238551</v>
      </c>
    </row>
    <row r="218" spans="3:4">
      <c r="C218" s="13" t="s">
        <v>76</v>
      </c>
      <c r="D218" s="13">
        <v>0.3957349</v>
      </c>
    </row>
    <row r="219" spans="3:4">
      <c r="C219" s="13" t="s">
        <v>9</v>
      </c>
      <c r="D219" s="13">
        <v>0.46980840000000001</v>
      </c>
    </row>
    <row r="220" spans="3:4">
      <c r="C220" s="13" t="s">
        <v>77</v>
      </c>
      <c r="D220" s="13">
        <v>0.2167277</v>
      </c>
    </row>
    <row r="221" spans="3:4">
      <c r="C221" s="13" t="s">
        <v>78</v>
      </c>
      <c r="D221" s="13">
        <v>0.69034200000000001</v>
      </c>
    </row>
    <row r="222" spans="3:4">
      <c r="C222" s="13" t="s">
        <v>79</v>
      </c>
      <c r="D222" s="13">
        <v>0.64015809999999995</v>
      </c>
    </row>
    <row r="223" spans="3:4">
      <c r="C223" s="13" t="s">
        <v>80</v>
      </c>
      <c r="D223" s="13">
        <v>2.9140000000000004E-3</v>
      </c>
    </row>
    <row r="224" spans="3:4">
      <c r="C224" s="13" t="s">
        <v>81</v>
      </c>
      <c r="D224" s="13">
        <v>0.241592</v>
      </c>
    </row>
    <row r="225" spans="3:4">
      <c r="C225" s="13" t="s">
        <v>83</v>
      </c>
      <c r="D225" s="13">
        <v>8.4953000000000001E-2</v>
      </c>
    </row>
    <row r="226" spans="3:4">
      <c r="C226" s="13" t="s">
        <v>84</v>
      </c>
      <c r="D226" s="13">
        <v>0.34666050000000004</v>
      </c>
    </row>
    <row r="227" spans="3:4">
      <c r="C227" s="13" t="s">
        <v>85</v>
      </c>
      <c r="D227" s="13">
        <v>0.14496780000000001</v>
      </c>
    </row>
    <row r="228" spans="3:4">
      <c r="C228" s="13" t="s">
        <v>86</v>
      </c>
      <c r="D228" s="13">
        <v>0.40362900000000002</v>
      </c>
    </row>
    <row r="229" spans="3:4">
      <c r="C229" s="13" t="s">
        <v>87</v>
      </c>
      <c r="D229" s="13">
        <v>0.27569850000000001</v>
      </c>
    </row>
    <row r="230" spans="3:4">
      <c r="C230" s="13" t="s">
        <v>88</v>
      </c>
      <c r="D230" s="13">
        <v>0.73043050000000009</v>
      </c>
    </row>
    <row r="231" spans="3:4">
      <c r="C231" s="13" t="s">
        <v>89</v>
      </c>
      <c r="D231" s="13">
        <v>0.72496400000000005</v>
      </c>
    </row>
    <row r="232" spans="3:4">
      <c r="C232" s="13" t="s">
        <v>90</v>
      </c>
      <c r="D232" s="13">
        <v>0.33441470000000001</v>
      </c>
    </row>
    <row r="233" spans="3:4">
      <c r="C233" s="13" t="s">
        <v>91</v>
      </c>
      <c r="D233" s="13">
        <v>0.30518250000000002</v>
      </c>
    </row>
    <row r="234" spans="3:4">
      <c r="C234" s="13" t="s">
        <v>92</v>
      </c>
      <c r="D234" s="13">
        <v>0.41325259999999997</v>
      </c>
    </row>
    <row r="235" spans="3:4">
      <c r="C235" s="13" t="s">
        <v>93</v>
      </c>
      <c r="D235" s="13">
        <v>0.85461260000000006</v>
      </c>
    </row>
    <row r="236" spans="3:4">
      <c r="C236" s="13" t="s">
        <v>94</v>
      </c>
      <c r="D236" s="13">
        <v>0.34392700000000004</v>
      </c>
    </row>
    <row r="237" spans="3:4">
      <c r="C237" s="13" t="s">
        <v>95</v>
      </c>
      <c r="D237" s="13">
        <v>5.4200000000000006E-4</v>
      </c>
    </row>
    <row r="238" spans="3:4">
      <c r="C238" s="13" t="s">
        <v>96</v>
      </c>
      <c r="D238" s="13">
        <v>0.9440385</v>
      </c>
    </row>
    <row r="239" spans="3:4">
      <c r="C239" s="13" t="s">
        <v>97</v>
      </c>
      <c r="D239" s="13">
        <v>0.67672529999999997</v>
      </c>
    </row>
    <row r="240" spans="3:4">
      <c r="C240" s="13" t="s">
        <v>100</v>
      </c>
      <c r="D240" s="13">
        <v>0.51435469999999994</v>
      </c>
    </row>
    <row r="241" spans="3:4">
      <c r="C241" s="13" t="s">
        <v>98</v>
      </c>
      <c r="D241" s="13">
        <v>0.70090959999999991</v>
      </c>
    </row>
    <row r="242" spans="3:4">
      <c r="C242" s="13" t="s">
        <v>99</v>
      </c>
      <c r="D242" s="13">
        <v>0.53533299999999995</v>
      </c>
    </row>
    <row r="243" spans="3:4">
      <c r="C243" s="13" t="s">
        <v>101</v>
      </c>
      <c r="D243" s="13">
        <v>0.77365099999999998</v>
      </c>
    </row>
    <row r="244" spans="3:4">
      <c r="C244" s="13" t="s">
        <v>102</v>
      </c>
      <c r="D244" s="13">
        <v>0.40351199999999998</v>
      </c>
    </row>
    <row r="245" spans="3:4">
      <c r="C245" s="13" t="s">
        <v>103</v>
      </c>
      <c r="D245" s="13">
        <v>0.82975509999999997</v>
      </c>
    </row>
    <row r="246" spans="3:4">
      <c r="C246" s="13" t="s">
        <v>104</v>
      </c>
      <c r="D246" s="13">
        <v>0.418346</v>
      </c>
    </row>
    <row r="247" spans="3:4">
      <c r="C247" s="13" t="s">
        <v>105</v>
      </c>
      <c r="D247" s="13">
        <v>0.60187390000000007</v>
      </c>
    </row>
    <row r="248" spans="3:4">
      <c r="C248" s="13" t="s">
        <v>106</v>
      </c>
      <c r="D248" s="13">
        <v>0.52002650000000006</v>
      </c>
    </row>
    <row r="249" spans="3:4">
      <c r="C249" s="13" t="s">
        <v>107</v>
      </c>
      <c r="D249" s="13">
        <v>0.31749050000000001</v>
      </c>
    </row>
    <row r="250" spans="3:4">
      <c r="C250" s="13" t="s">
        <v>193</v>
      </c>
      <c r="D250" s="13">
        <v>0.53319550000000004</v>
      </c>
    </row>
    <row r="251" spans="3:4">
      <c r="C251" s="13" t="s">
        <v>108</v>
      </c>
      <c r="D251" s="13">
        <v>0.464337</v>
      </c>
    </row>
    <row r="252" spans="3:4">
      <c r="C252" s="13" t="s">
        <v>109</v>
      </c>
      <c r="D252" s="13">
        <v>0.64291679999999995</v>
      </c>
    </row>
    <row r="253" spans="3:4">
      <c r="C253" s="13" t="s">
        <v>110</v>
      </c>
      <c r="D253" s="13">
        <v>7.9160999999999995E-2</v>
      </c>
    </row>
    <row r="254" spans="3:4">
      <c r="C254" s="13" t="s">
        <v>111</v>
      </c>
      <c r="D254" s="13">
        <v>0.16738810000000001</v>
      </c>
    </row>
    <row r="255" spans="3:4">
      <c r="C255" s="13" t="s">
        <v>112</v>
      </c>
      <c r="D255" s="13">
        <v>0.69464970000000004</v>
      </c>
    </row>
    <row r="256" spans="3:4">
      <c r="C256" s="13" t="s">
        <v>113</v>
      </c>
      <c r="D256" s="13">
        <v>0.87882860000000007</v>
      </c>
    </row>
    <row r="257" spans="3:4">
      <c r="C257" s="13" t="s">
        <v>114</v>
      </c>
      <c r="D257" s="13">
        <v>0.13948199999999999</v>
      </c>
    </row>
    <row r="258" spans="3:4">
      <c r="C258" s="13" t="s">
        <v>115</v>
      </c>
      <c r="D258" s="13">
        <v>0.32604700000000003</v>
      </c>
    </row>
    <row r="259" spans="3:4">
      <c r="C259" s="13" t="s">
        <v>194</v>
      </c>
      <c r="D259" s="13">
        <v>0.61890590000000001</v>
      </c>
    </row>
    <row r="260" spans="3:4">
      <c r="C260" s="13" t="s">
        <v>116</v>
      </c>
      <c r="D260" s="13">
        <v>0.6553582</v>
      </c>
    </row>
    <row r="261" spans="3:4">
      <c r="C261" s="13" t="s">
        <v>117</v>
      </c>
      <c r="D261" s="13">
        <v>0.83408540000000009</v>
      </c>
    </row>
    <row r="262" spans="3:4">
      <c r="C262" s="13" t="s">
        <v>118</v>
      </c>
      <c r="D262" s="13">
        <v>0.54128500000000002</v>
      </c>
    </row>
    <row r="263" spans="3:4">
      <c r="C263" s="13" t="s">
        <v>141</v>
      </c>
      <c r="D263" s="13">
        <v>0.47556799999999999</v>
      </c>
    </row>
    <row r="264" spans="3:4">
      <c r="C264" s="13" t="s">
        <v>119</v>
      </c>
      <c r="D264" s="13">
        <v>0.52330999999999994</v>
      </c>
    </row>
    <row r="265" spans="3:4">
      <c r="C265" s="13" t="s">
        <v>120</v>
      </c>
      <c r="D265" s="13">
        <v>0.70790120000000001</v>
      </c>
    </row>
    <row r="266" spans="3:4">
      <c r="C266" s="13" t="s">
        <v>121</v>
      </c>
      <c r="D266" s="13">
        <v>1.0178000000000001E-3</v>
      </c>
    </row>
    <row r="267" spans="3:4">
      <c r="C267" s="13" t="s">
        <v>122</v>
      </c>
      <c r="D267" s="13">
        <v>0.3382211</v>
      </c>
    </row>
    <row r="268" spans="3:4">
      <c r="C268" s="13" t="s">
        <v>123</v>
      </c>
      <c r="D268" s="13">
        <v>7.5646900000000003E-2</v>
      </c>
    </row>
    <row r="269" spans="3:4">
      <c r="C269" s="13" t="s">
        <v>124</v>
      </c>
      <c r="D269" s="13">
        <v>3.7995999999999998E-3</v>
      </c>
    </row>
    <row r="270" spans="3:4">
      <c r="C270" s="13" t="s">
        <v>125</v>
      </c>
      <c r="D270" s="13">
        <v>0.39431499999999997</v>
      </c>
    </row>
    <row r="271" spans="3:4">
      <c r="C271" s="13" t="s">
        <v>126</v>
      </c>
      <c r="D271" s="13">
        <v>0.7170685</v>
      </c>
    </row>
    <row r="272" spans="3:4">
      <c r="C272" s="13" t="s">
        <v>127</v>
      </c>
      <c r="D272" s="13">
        <v>0.30910000000000004</v>
      </c>
    </row>
    <row r="273" spans="3:4">
      <c r="C273" s="13" t="s">
        <v>128</v>
      </c>
      <c r="D273" s="13">
        <v>0.54976369999999997</v>
      </c>
    </row>
    <row r="274" spans="3:4">
      <c r="C274" s="13" t="s">
        <v>129</v>
      </c>
      <c r="D274" s="13">
        <v>0.38613780000000003</v>
      </c>
    </row>
    <row r="275" spans="3:4">
      <c r="C275" s="13" t="s">
        <v>130</v>
      </c>
      <c r="D275" s="13">
        <v>6.8669999999999998E-3</v>
      </c>
    </row>
    <row r="276" spans="3:4">
      <c r="C276" s="13" t="s">
        <v>131</v>
      </c>
      <c r="D276" s="13">
        <v>0.85611270000000006</v>
      </c>
    </row>
    <row r="277" spans="3:4">
      <c r="C277" s="13" t="s">
        <v>132</v>
      </c>
      <c r="D277" s="13">
        <v>0.41280820000000001</v>
      </c>
    </row>
    <row r="278" spans="3:4">
      <c r="C278" s="13" t="s">
        <v>133</v>
      </c>
      <c r="D278" s="13">
        <v>0.22884389999999999</v>
      </c>
    </row>
    <row r="279" spans="3:4">
      <c r="C279" s="13" t="s">
        <v>134</v>
      </c>
      <c r="D279" s="13">
        <v>0</v>
      </c>
    </row>
    <row r="280" spans="3:4">
      <c r="C280" s="13" t="s">
        <v>136</v>
      </c>
      <c r="D280" s="13">
        <v>0.17232349999999999</v>
      </c>
    </row>
    <row r="281" spans="3:4">
      <c r="C281" s="13" t="s">
        <v>137</v>
      </c>
      <c r="D281" s="13">
        <v>0.43500610000000001</v>
      </c>
    </row>
    <row r="282" spans="3:4">
      <c r="C282" s="13" t="s">
        <v>138</v>
      </c>
      <c r="D282" s="13">
        <v>0.65864999999999996</v>
      </c>
    </row>
    <row r="283" spans="3:4">
      <c r="C283" s="13" t="s">
        <v>139</v>
      </c>
      <c r="D283" s="13">
        <v>0.41642399999999996</v>
      </c>
    </row>
    <row r="284" spans="3:4">
      <c r="C284" s="13" t="s">
        <v>140</v>
      </c>
      <c r="D284" s="13">
        <v>0.62571410000000005</v>
      </c>
    </row>
    <row r="285" spans="3:4">
      <c r="C285" s="13" t="s">
        <v>142</v>
      </c>
      <c r="D285" s="13">
        <v>0.42860500000000001</v>
      </c>
    </row>
    <row r="286" spans="3:4">
      <c r="C286" s="13" t="s">
        <v>143</v>
      </c>
      <c r="D286" s="13">
        <v>0.32856540000000001</v>
      </c>
    </row>
    <row r="287" spans="3:4">
      <c r="C287" s="13" t="s">
        <v>144</v>
      </c>
      <c r="D287" s="13">
        <v>0.75537339999999997</v>
      </c>
    </row>
    <row r="288" spans="3:4">
      <c r="C288" s="13" t="s">
        <v>145</v>
      </c>
      <c r="D288" s="13">
        <v>0.72589490000000001</v>
      </c>
    </row>
    <row r="289" spans="3:4">
      <c r="C289" s="13" t="s">
        <v>146</v>
      </c>
      <c r="D289" s="13">
        <v>0.71559110000000004</v>
      </c>
    </row>
    <row r="290" spans="3:4">
      <c r="C290" s="13" t="s">
        <v>147</v>
      </c>
      <c r="D290" s="13">
        <v>0.53605859999999994</v>
      </c>
    </row>
    <row r="291" spans="3:4">
      <c r="C291" s="13" t="s">
        <v>148</v>
      </c>
      <c r="D291" s="13">
        <v>0.223412</v>
      </c>
    </row>
    <row r="292" spans="3:4">
      <c r="C292" s="13" t="s">
        <v>195</v>
      </c>
      <c r="D292" s="13">
        <v>0.33175889999999997</v>
      </c>
    </row>
    <row r="293" spans="3:4">
      <c r="C293" s="13" t="s">
        <v>150</v>
      </c>
      <c r="D293" s="13">
        <v>0.86899959999999998</v>
      </c>
    </row>
    <row r="294" spans="3:4">
      <c r="C294" s="13" t="s">
        <v>151</v>
      </c>
      <c r="D294" s="13">
        <v>0.34979399999999999</v>
      </c>
    </row>
    <row r="295" spans="3:4">
      <c r="C295" s="13" t="s">
        <v>152</v>
      </c>
      <c r="D295" s="13">
        <v>0.31372440000000001</v>
      </c>
    </row>
    <row r="296" spans="3:4">
      <c r="C296" s="13" t="s">
        <v>153</v>
      </c>
      <c r="D296" s="13">
        <v>0.61391830000000003</v>
      </c>
    </row>
    <row r="297" spans="3:4">
      <c r="C297" s="13" t="s">
        <v>154</v>
      </c>
      <c r="D297" s="13">
        <v>4.7966000000000002E-2</v>
      </c>
    </row>
    <row r="298" spans="3:4">
      <c r="C298" s="13" t="s">
        <v>155</v>
      </c>
      <c r="D298" s="13">
        <v>2.5722999999999999E-2</v>
      </c>
    </row>
    <row r="299" spans="3:4">
      <c r="C299" s="13" t="s">
        <v>156</v>
      </c>
      <c r="D299" s="13">
        <v>0.60439919999999991</v>
      </c>
    </row>
    <row r="300" spans="3:4">
      <c r="C300" s="13" t="s">
        <v>157</v>
      </c>
      <c r="D300" s="13">
        <v>2.8018299999999999E-2</v>
      </c>
    </row>
    <row r="301" spans="3:4">
      <c r="C301" s="13" t="s">
        <v>167</v>
      </c>
      <c r="D301" s="13">
        <v>0.31551220000000002</v>
      </c>
    </row>
    <row r="302" spans="3:4">
      <c r="C302" s="13" t="s">
        <v>158</v>
      </c>
      <c r="D302" s="13">
        <v>0.5109283</v>
      </c>
    </row>
    <row r="303" spans="3:4">
      <c r="C303" s="13" t="s">
        <v>159</v>
      </c>
      <c r="D303" s="13">
        <v>0.45866969999999996</v>
      </c>
    </row>
    <row r="304" spans="3:4">
      <c r="C304" s="13" t="s">
        <v>160</v>
      </c>
      <c r="D304" s="13">
        <v>0.7243096</v>
      </c>
    </row>
    <row r="305" spans="3:4">
      <c r="C305" s="13" t="s">
        <v>161</v>
      </c>
      <c r="D305" s="13">
        <v>0.54585859999999997</v>
      </c>
    </row>
    <row r="306" spans="3:4">
      <c r="C306" s="13" t="s">
        <v>162</v>
      </c>
      <c r="D306" s="13">
        <v>0.438222</v>
      </c>
    </row>
    <row r="307" spans="3:4">
      <c r="C307" s="13" t="s">
        <v>163</v>
      </c>
      <c r="D307" s="13">
        <v>0.79513040000000001</v>
      </c>
    </row>
    <row r="308" spans="3:4">
      <c r="C308" s="13" t="s">
        <v>164</v>
      </c>
      <c r="D308" s="13">
        <v>0.34432879999999999</v>
      </c>
    </row>
    <row r="309" spans="3:4">
      <c r="C309" s="13" t="s">
        <v>165</v>
      </c>
      <c r="D309" s="13">
        <v>0.81998559999999998</v>
      </c>
    </row>
    <row r="310" spans="3:4">
      <c r="C310" s="13" t="s">
        <v>166</v>
      </c>
      <c r="D310" s="13">
        <v>0.50473299999999999</v>
      </c>
    </row>
    <row r="311" spans="3:4">
      <c r="C311" s="13" t="s">
        <v>168</v>
      </c>
      <c r="D311" s="13">
        <v>0.55865999999999993</v>
      </c>
    </row>
    <row r="312" spans="3:4">
      <c r="C312" s="13" t="s">
        <v>169</v>
      </c>
      <c r="D312" s="13">
        <v>0.2963499</v>
      </c>
    </row>
    <row r="313" spans="3:4">
      <c r="C313" s="13" t="s">
        <v>170</v>
      </c>
      <c r="D313" s="13">
        <v>0.44636000000000003</v>
      </c>
    </row>
    <row r="314" spans="3:4">
      <c r="C314" s="13" t="s">
        <v>171</v>
      </c>
      <c r="D314" s="13">
        <v>0.20844220000000002</v>
      </c>
    </row>
    <row r="315" spans="3:4">
      <c r="C315" s="13" t="s">
        <v>172</v>
      </c>
      <c r="D315" s="13">
        <v>0.39631379999999999</v>
      </c>
    </row>
    <row r="316" spans="3:4">
      <c r="C316" s="13" t="s">
        <v>173</v>
      </c>
      <c r="D316" s="13">
        <v>0.82303110000000002</v>
      </c>
    </row>
    <row r="317" spans="3:4">
      <c r="C317" s="13" t="s">
        <v>174</v>
      </c>
      <c r="D317" s="13">
        <v>6.7573999999999993E-3</v>
      </c>
    </row>
    <row r="318" spans="3:4">
      <c r="C318" s="13" t="s">
        <v>175</v>
      </c>
      <c r="D318" s="13">
        <v>0.57276890000000003</v>
      </c>
    </row>
    <row r="319" spans="3:4">
      <c r="C319" s="13" t="s">
        <v>176</v>
      </c>
      <c r="D319" s="13">
        <v>0.48861130000000003</v>
      </c>
    </row>
    <row r="320" spans="3:4">
      <c r="C320" s="13" t="s">
        <v>178</v>
      </c>
      <c r="D320" s="13">
        <v>0.50899280000000002</v>
      </c>
    </row>
    <row r="321" spans="3:4">
      <c r="C321" s="13" t="s">
        <v>177</v>
      </c>
      <c r="D321" s="13">
        <v>0.3078166</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250"/>
  <sheetViews>
    <sheetView workbookViewId="0">
      <selection activeCell="C2" sqref="C2"/>
    </sheetView>
  </sheetViews>
  <sheetFormatPr defaultRowHeight="14.25"/>
  <cols>
    <col min="1" max="1" width="3.28515625" style="13" customWidth="1"/>
    <col min="2" max="2" width="3.140625" style="13" customWidth="1"/>
    <col min="3" max="3" width="20.7109375" style="13" customWidth="1"/>
    <col min="4" max="4" width="2.140625" style="13" customWidth="1"/>
    <col min="5" max="5" width="27.5703125" style="13" customWidth="1"/>
    <col min="6" max="6" width="21.85546875" style="13" customWidth="1"/>
    <col min="7" max="7" width="16.42578125" style="13" customWidth="1"/>
    <col min="8" max="8" width="16.7109375" style="13" customWidth="1"/>
    <col min="9" max="9" width="18" style="13" customWidth="1"/>
    <col min="10" max="10" width="24" style="13" customWidth="1"/>
    <col min="11" max="11" width="30.7109375" style="13" customWidth="1"/>
    <col min="12" max="12" width="20.140625" style="13" customWidth="1"/>
    <col min="13" max="13" width="21.85546875" style="13" customWidth="1"/>
    <col min="14" max="14" width="19" style="13" customWidth="1"/>
    <col min="15" max="15" width="27.7109375" style="13" customWidth="1"/>
    <col min="16" max="16" width="24.5703125" style="13" customWidth="1"/>
    <col min="17" max="17" width="20.5703125" style="13" customWidth="1"/>
    <col min="18" max="18" width="16" style="13" customWidth="1"/>
    <col min="19" max="19" width="18.140625" style="13" customWidth="1"/>
    <col min="20" max="20" width="18.7109375" style="13" customWidth="1"/>
    <col min="21" max="21" width="9.140625" style="13"/>
    <col min="22" max="22" width="14.140625" style="13" customWidth="1"/>
    <col min="23" max="16384" width="9.140625" style="13"/>
  </cols>
  <sheetData>
    <row r="2" spans="2:10" ht="21" customHeight="1">
      <c r="C2" s="133" t="s">
        <v>910</v>
      </c>
    </row>
    <row r="3" spans="2:10" ht="12" customHeight="1">
      <c r="C3" s="134"/>
    </row>
    <row r="4" spans="2:10" s="24" customFormat="1">
      <c r="C4" s="24" t="s">
        <v>881</v>
      </c>
      <c r="E4" s="24" t="s">
        <v>898</v>
      </c>
    </row>
    <row r="5" spans="2:10" s="24" customFormat="1">
      <c r="C5" s="24" t="s">
        <v>883</v>
      </c>
      <c r="E5" s="24" t="s">
        <v>899</v>
      </c>
    </row>
    <row r="6" spans="2:10" s="24" customFormat="1">
      <c r="C6" s="24" t="s">
        <v>885</v>
      </c>
      <c r="E6" s="24" t="s">
        <v>900</v>
      </c>
    </row>
    <row r="8" spans="2:10" ht="15">
      <c r="J8" s="135" t="s">
        <v>251</v>
      </c>
    </row>
    <row r="9" spans="2:10" ht="15" customHeight="1">
      <c r="B9" s="139">
        <v>1</v>
      </c>
      <c r="C9" s="135" t="s">
        <v>283</v>
      </c>
      <c r="E9" s="136" t="s">
        <v>257</v>
      </c>
      <c r="F9" s="13" t="s">
        <v>948</v>
      </c>
      <c r="J9" s="136" t="s">
        <v>248</v>
      </c>
    </row>
    <row r="10" spans="2:10" ht="15" customHeight="1">
      <c r="B10" s="139"/>
      <c r="C10" s="135"/>
      <c r="E10" s="136" t="s">
        <v>97</v>
      </c>
      <c r="F10" s="13" t="s">
        <v>945</v>
      </c>
      <c r="J10" s="137" t="s">
        <v>249</v>
      </c>
    </row>
    <row r="11" spans="2:10">
      <c r="J11" s="138" t="s">
        <v>250</v>
      </c>
    </row>
    <row r="12" spans="2:10">
      <c r="E12" s="137">
        <f>VLOOKUP(E10,'[1]Solid Waste Reference'!$C$136:$D$285,2,FALSE)</f>
        <v>0.67672529999999997</v>
      </c>
      <c r="F12" s="13" t="s">
        <v>358</v>
      </c>
      <c r="J12" s="31"/>
    </row>
    <row r="13" spans="2:10">
      <c r="J13" s="31"/>
    </row>
    <row r="14" spans="2:10" ht="15" customHeight="1">
      <c r="B14" s="139">
        <v>2</v>
      </c>
      <c r="C14" s="135" t="s">
        <v>901</v>
      </c>
      <c r="J14" s="31"/>
    </row>
    <row r="15" spans="2:10" ht="15" customHeight="1">
      <c r="B15" s="139"/>
      <c r="C15" s="135"/>
      <c r="E15" s="135" t="s">
        <v>342</v>
      </c>
      <c r="G15" s="154">
        <v>1936.14</v>
      </c>
      <c r="H15" s="135" t="s">
        <v>624</v>
      </c>
      <c r="J15" s="31"/>
    </row>
    <row r="16" spans="2:10" ht="15" customHeight="1">
      <c r="B16" s="139"/>
      <c r="C16" s="135"/>
      <c r="E16" s="135"/>
      <c r="G16" s="154">
        <f>G15*365</f>
        <v>706691.10000000009</v>
      </c>
      <c r="H16" s="135" t="s">
        <v>625</v>
      </c>
      <c r="J16" s="31"/>
    </row>
    <row r="17" spans="2:10" ht="15" customHeight="1">
      <c r="B17" s="139"/>
      <c r="C17" s="135"/>
      <c r="E17" s="135" t="s">
        <v>7</v>
      </c>
      <c r="G17" s="154">
        <v>2010</v>
      </c>
      <c r="H17" s="135"/>
      <c r="J17" s="31"/>
    </row>
    <row r="18" spans="2:10" ht="15" customHeight="1">
      <c r="B18" s="139"/>
      <c r="C18" s="135"/>
      <c r="E18" s="135" t="s">
        <v>468</v>
      </c>
      <c r="G18" s="154" t="s">
        <v>587</v>
      </c>
      <c r="H18" s="135"/>
      <c r="J18" s="31"/>
    </row>
    <row r="19" spans="2:10" ht="15" customHeight="1">
      <c r="B19" s="139"/>
      <c r="C19" s="135"/>
      <c r="J19" s="194"/>
    </row>
    <row r="20" spans="2:10" s="26" customFormat="1" ht="29.25" customHeight="1">
      <c r="B20" s="370"/>
      <c r="C20" s="20"/>
      <c r="E20" s="200" t="s">
        <v>285</v>
      </c>
      <c r="F20" s="201" t="s">
        <v>287</v>
      </c>
      <c r="G20" s="201" t="s">
        <v>288</v>
      </c>
      <c r="J20" s="13"/>
    </row>
    <row r="21" spans="2:10">
      <c r="D21" s="236">
        <v>1</v>
      </c>
      <c r="E21" s="13" t="s">
        <v>274</v>
      </c>
      <c r="F21" s="310">
        <f>(VLOOKUP($E$9,'[1]Solid Waste Reference'!$C$7:$L$26,('10-Solid Waste'!D21+1),FALSE))/100</f>
        <v>0.435</v>
      </c>
      <c r="G21" s="371">
        <v>0.68500000000000005</v>
      </c>
    </row>
    <row r="22" spans="2:10">
      <c r="D22" s="236">
        <v>2</v>
      </c>
      <c r="E22" s="13" t="s">
        <v>275</v>
      </c>
      <c r="F22" s="310">
        <f>(VLOOKUP($E$9,'[1]Solid Waste Reference'!$C$7:$L$26,('10-Solid Waste'!D22+1),FALSE))/100</f>
        <v>0.129</v>
      </c>
      <c r="G22" s="371">
        <v>6.0999999999999999E-2</v>
      </c>
    </row>
    <row r="23" spans="2:10">
      <c r="D23" s="236">
        <v>3</v>
      </c>
      <c r="E23" s="13" t="s">
        <v>276</v>
      </c>
      <c r="F23" s="310">
        <f>(VLOOKUP($E$9,'[1]Solid Waste Reference'!$C$7:$L$26,('10-Solid Waste'!D23+1),FALSE))/100</f>
        <v>9.9000000000000005E-2</v>
      </c>
      <c r="G23" s="371">
        <v>2.3E-2</v>
      </c>
    </row>
    <row r="24" spans="2:10">
      <c r="D24" s="236">
        <v>4</v>
      </c>
      <c r="E24" s="13" t="s">
        <v>5</v>
      </c>
      <c r="F24" s="310">
        <f>(VLOOKUP($E$9,'[1]Solid Waste Reference'!$C$7:$L$26,('10-Solid Waste'!D24+1),FALSE))/100</f>
        <v>2.7000000000000003E-2</v>
      </c>
      <c r="G24" s="371">
        <v>0.04</v>
      </c>
    </row>
    <row r="25" spans="2:10">
      <c r="D25" s="236">
        <v>5</v>
      </c>
      <c r="E25" s="13" t="s">
        <v>277</v>
      </c>
      <c r="F25" s="310">
        <f>(VLOOKUP($E$9,'[1]Solid Waste Reference'!$C$7:$L$26,('10-Solid Waste'!D25+1),FALSE))/100</f>
        <v>9.0000000000000011E-3</v>
      </c>
      <c r="G25" s="371">
        <v>5.0000000000000001E-3</v>
      </c>
    </row>
    <row r="26" spans="2:10">
      <c r="D26" s="236">
        <v>6</v>
      </c>
      <c r="E26" s="13" t="s">
        <v>278</v>
      </c>
      <c r="F26" s="310">
        <f>(VLOOKUP($E$9,'[1]Solid Waste Reference'!$C$7:$L$26,('10-Solid Waste'!D26+1),FALSE))/100</f>
        <v>7.2000000000000008E-2</v>
      </c>
      <c r="G26" s="371">
        <v>0.124</v>
      </c>
    </row>
    <row r="27" spans="2:10">
      <c r="D27" s="236">
        <v>7</v>
      </c>
      <c r="E27" s="13" t="s">
        <v>279</v>
      </c>
      <c r="F27" s="310">
        <f>(VLOOKUP($E$9,'[1]Solid Waste Reference'!$C$7:$L$26,('10-Solid Waste'!D27+1),FALSE))/100</f>
        <v>3.3000000000000002E-2</v>
      </c>
      <c r="G27" s="371">
        <v>0.01</v>
      </c>
    </row>
    <row r="28" spans="2:10">
      <c r="D28" s="236">
        <v>8</v>
      </c>
      <c r="E28" s="13" t="s">
        <v>280</v>
      </c>
      <c r="F28" s="310">
        <f>(VLOOKUP($E$9,'[1]Solid Waste Reference'!$C$7:$L$26,('10-Solid Waste'!D28+1),FALSE))/100</f>
        <v>0.04</v>
      </c>
      <c r="G28" s="371">
        <v>1.3999999999999999E-2</v>
      </c>
    </row>
    <row r="29" spans="2:10">
      <c r="D29" s="236">
        <v>9</v>
      </c>
      <c r="E29" s="35" t="s">
        <v>281</v>
      </c>
      <c r="F29" s="310">
        <f>(VLOOKUP($E$9,'[1]Solid Waste Reference'!$C$7:$L$26,('10-Solid Waste'!D29+1),FALSE))/100</f>
        <v>0.16300000000000001</v>
      </c>
      <c r="G29" s="371">
        <v>3.7999999999999999E-2</v>
      </c>
    </row>
    <row r="30" spans="2:10">
      <c r="E30" s="274" t="s">
        <v>286</v>
      </c>
      <c r="F30" s="372">
        <f>SUM(F21:F29)</f>
        <v>1.0070000000000001</v>
      </c>
      <c r="G30" s="372">
        <f>SUM(G21:G29)</f>
        <v>1</v>
      </c>
    </row>
    <row r="32" spans="2:10" ht="14.25" customHeight="1">
      <c r="B32" s="139">
        <v>3</v>
      </c>
      <c r="C32" s="135" t="s">
        <v>294</v>
      </c>
    </row>
    <row r="33" spans="2:24" ht="14.25" customHeight="1">
      <c r="B33" s="139"/>
      <c r="C33" s="135"/>
      <c r="E33" s="234" t="s">
        <v>293</v>
      </c>
      <c r="F33" s="234"/>
      <c r="G33" s="234" t="s">
        <v>0</v>
      </c>
      <c r="H33" s="234" t="s">
        <v>1</v>
      </c>
    </row>
    <row r="34" spans="2:24">
      <c r="E34" s="13" t="s">
        <v>289</v>
      </c>
      <c r="G34" s="136" t="s">
        <v>299</v>
      </c>
      <c r="H34" s="13" t="s">
        <v>295</v>
      </c>
    </row>
    <row r="35" spans="2:24">
      <c r="E35" s="13" t="s">
        <v>290</v>
      </c>
      <c r="G35" s="136" t="s">
        <v>301</v>
      </c>
      <c r="H35" s="13" t="s">
        <v>291</v>
      </c>
    </row>
    <row r="36" spans="2:24">
      <c r="E36" s="35" t="s">
        <v>292</v>
      </c>
      <c r="F36" s="35"/>
      <c r="G36" s="165" t="s">
        <v>303</v>
      </c>
      <c r="H36" s="35" t="s">
        <v>305</v>
      </c>
    </row>
    <row r="38" spans="2:24" ht="18">
      <c r="B38" s="139">
        <v>4</v>
      </c>
      <c r="C38" s="135" t="s">
        <v>902</v>
      </c>
    </row>
    <row r="39" spans="2:24" s="26" customFormat="1" ht="44.25" customHeight="1">
      <c r="E39" s="142" t="s">
        <v>331</v>
      </c>
      <c r="F39" s="142" t="s">
        <v>332</v>
      </c>
      <c r="G39" s="142" t="s">
        <v>355</v>
      </c>
      <c r="H39" s="142" t="s">
        <v>333</v>
      </c>
      <c r="I39" s="142" t="s">
        <v>334</v>
      </c>
      <c r="J39" s="142" t="s">
        <v>306</v>
      </c>
      <c r="K39" s="142" t="s">
        <v>335</v>
      </c>
      <c r="L39" s="142" t="s">
        <v>341</v>
      </c>
      <c r="M39" s="142" t="s">
        <v>563</v>
      </c>
      <c r="N39" s="142" t="s">
        <v>566</v>
      </c>
      <c r="O39" s="142" t="s">
        <v>564</v>
      </c>
      <c r="P39" s="142" t="s">
        <v>568</v>
      </c>
      <c r="Q39" s="142" t="s">
        <v>356</v>
      </c>
      <c r="R39" s="142" t="s">
        <v>357</v>
      </c>
      <c r="S39" s="142" t="s">
        <v>361</v>
      </c>
      <c r="T39" s="142" t="s">
        <v>240</v>
      </c>
      <c r="U39" s="142" t="s">
        <v>220</v>
      </c>
      <c r="V39" s="142" t="s">
        <v>238</v>
      </c>
      <c r="W39" s="142" t="s">
        <v>219</v>
      </c>
      <c r="X39" s="142" t="s">
        <v>6</v>
      </c>
    </row>
    <row r="40" spans="2:24" s="25" customFormat="1" ht="13.5" customHeight="1">
      <c r="C40" s="373" t="s">
        <v>243</v>
      </c>
      <c r="E40" s="316"/>
      <c r="F40" s="316"/>
      <c r="G40" s="374"/>
      <c r="H40" s="314"/>
      <c r="I40" s="375"/>
      <c r="J40" s="314"/>
      <c r="K40" s="314"/>
      <c r="L40" s="316"/>
      <c r="M40" s="314"/>
      <c r="N40" s="315"/>
      <c r="O40" s="316"/>
      <c r="P40" s="376"/>
      <c r="Q40" s="318"/>
      <c r="R40" s="318"/>
      <c r="S40" s="317"/>
      <c r="T40" s="317"/>
      <c r="U40" s="317"/>
      <c r="V40" s="318"/>
      <c r="W40" s="317"/>
      <c r="X40" s="317"/>
    </row>
    <row r="41" spans="2:24" ht="16.5" customHeight="1">
      <c r="C41" s="13">
        <v>1</v>
      </c>
      <c r="E41" s="160" t="s">
        <v>623</v>
      </c>
      <c r="F41" s="160" t="s">
        <v>622</v>
      </c>
      <c r="G41" s="374">
        <f>G16</f>
        <v>706691.10000000009</v>
      </c>
      <c r="H41" s="377" t="s">
        <v>337</v>
      </c>
      <c r="I41" s="378">
        <v>0.65</v>
      </c>
      <c r="J41" s="377" t="s">
        <v>339</v>
      </c>
      <c r="K41" s="377" t="s">
        <v>312</v>
      </c>
      <c r="L41" s="379">
        <v>7007.42</v>
      </c>
      <c r="M41" s="314"/>
      <c r="N41" s="320">
        <f>IF(ISTEXT(M41)=TRUE,(VLOOKUP(M41,'[1]Solid Waste Reference'!$C$79:$G$131,5,FALSE)),0)</f>
        <v>0</v>
      </c>
      <c r="O41" s="321"/>
      <c r="P41" s="380">
        <f t="shared" ref="P41:P50" si="0">N41*O41</f>
        <v>0</v>
      </c>
      <c r="Q41" s="381" t="s">
        <v>338</v>
      </c>
      <c r="R41" s="381" t="s">
        <v>338</v>
      </c>
      <c r="S41" s="382"/>
      <c r="T41" s="160" t="s">
        <v>585</v>
      </c>
      <c r="U41" s="160"/>
      <c r="V41" s="318" t="s">
        <v>216</v>
      </c>
      <c r="W41" s="160"/>
      <c r="X41" s="160"/>
    </row>
    <row r="42" spans="2:24">
      <c r="C42" s="13">
        <v>2</v>
      </c>
      <c r="E42" s="160"/>
      <c r="F42" s="160"/>
      <c r="G42" s="321"/>
      <c r="H42" s="377"/>
      <c r="I42" s="378"/>
      <c r="J42" s="377"/>
      <c r="K42" s="377"/>
      <c r="L42" s="321"/>
      <c r="M42" s="314"/>
      <c r="N42" s="320">
        <f>IF(ISTEXT(M42)=TRUE,(VLOOKUP(M42,'[1]Solid Waste Reference'!$C$79:$G$131,5,FALSE)),0)</f>
        <v>0</v>
      </c>
      <c r="O42" s="321"/>
      <c r="P42" s="380">
        <f t="shared" si="0"/>
        <v>0</v>
      </c>
      <c r="Q42" s="381"/>
      <c r="R42" s="381"/>
      <c r="S42" s="382"/>
      <c r="T42" s="160"/>
      <c r="U42" s="160"/>
      <c r="V42" s="318"/>
      <c r="W42" s="160"/>
      <c r="X42" s="160"/>
    </row>
    <row r="43" spans="2:24">
      <c r="C43" s="13">
        <v>3</v>
      </c>
      <c r="E43" s="160"/>
      <c r="F43" s="160"/>
      <c r="G43" s="321"/>
      <c r="H43" s="377"/>
      <c r="I43" s="378"/>
      <c r="J43" s="377"/>
      <c r="K43" s="377"/>
      <c r="L43" s="321"/>
      <c r="M43" s="314"/>
      <c r="N43" s="320">
        <f>IF(ISTEXT(M43)=TRUE,(VLOOKUP(M43,'[1]Solid Waste Reference'!$C$79:$G$131,5,FALSE)),0)</f>
        <v>0</v>
      </c>
      <c r="O43" s="321"/>
      <c r="P43" s="380">
        <f t="shared" si="0"/>
        <v>0</v>
      </c>
      <c r="Q43" s="381"/>
      <c r="R43" s="381"/>
      <c r="S43" s="382"/>
      <c r="T43" s="160"/>
      <c r="U43" s="160"/>
      <c r="V43" s="318"/>
      <c r="W43" s="160"/>
      <c r="X43" s="160"/>
    </row>
    <row r="44" spans="2:24">
      <c r="C44" s="13">
        <v>4</v>
      </c>
      <c r="E44" s="160"/>
      <c r="F44" s="160"/>
      <c r="G44" s="321"/>
      <c r="H44" s="377"/>
      <c r="I44" s="378"/>
      <c r="J44" s="377"/>
      <c r="K44" s="377"/>
      <c r="L44" s="321"/>
      <c r="M44" s="314"/>
      <c r="N44" s="320">
        <f>IF(ISTEXT(M44)=TRUE,(VLOOKUP(M44,'[1]Solid Waste Reference'!$C$79:$G$131,5,FALSE)),0)</f>
        <v>0</v>
      </c>
      <c r="O44" s="321"/>
      <c r="P44" s="380">
        <f t="shared" si="0"/>
        <v>0</v>
      </c>
      <c r="Q44" s="381"/>
      <c r="R44" s="381"/>
      <c r="S44" s="382"/>
      <c r="T44" s="160"/>
      <c r="U44" s="160"/>
      <c r="V44" s="318"/>
      <c r="W44" s="160"/>
      <c r="X44" s="160"/>
    </row>
    <row r="45" spans="2:24">
      <c r="C45" s="13">
        <v>5</v>
      </c>
      <c r="E45" s="160"/>
      <c r="F45" s="160"/>
      <c r="G45" s="321"/>
      <c r="H45" s="377"/>
      <c r="I45" s="378"/>
      <c r="J45" s="377"/>
      <c r="K45" s="377"/>
      <c r="L45" s="321"/>
      <c r="M45" s="314"/>
      <c r="N45" s="320">
        <f>IF(ISTEXT(M45)=TRUE,(VLOOKUP(M45,'[1]Solid Waste Reference'!$C$79:$G$131,5,FALSE)),0)</f>
        <v>0</v>
      </c>
      <c r="O45" s="321"/>
      <c r="P45" s="380">
        <f t="shared" si="0"/>
        <v>0</v>
      </c>
      <c r="Q45" s="381"/>
      <c r="R45" s="381"/>
      <c r="S45" s="382"/>
      <c r="T45" s="160"/>
      <c r="U45" s="160"/>
      <c r="V45" s="318"/>
      <c r="W45" s="160"/>
      <c r="X45" s="160"/>
    </row>
    <row r="46" spans="2:24">
      <c r="C46" s="13">
        <v>6</v>
      </c>
      <c r="E46" s="160"/>
      <c r="F46" s="160"/>
      <c r="G46" s="321"/>
      <c r="H46" s="377"/>
      <c r="I46" s="378"/>
      <c r="J46" s="377"/>
      <c r="K46" s="377"/>
      <c r="L46" s="321"/>
      <c r="M46" s="314"/>
      <c r="N46" s="320">
        <f>IF(ISTEXT(M46)=TRUE,(VLOOKUP(M46,'[1]Solid Waste Reference'!$C$79:$G$131,5,FALSE)),0)</f>
        <v>0</v>
      </c>
      <c r="O46" s="321"/>
      <c r="P46" s="380">
        <f t="shared" si="0"/>
        <v>0</v>
      </c>
      <c r="Q46" s="381"/>
      <c r="R46" s="381"/>
      <c r="S46" s="382"/>
      <c r="T46" s="160"/>
      <c r="U46" s="160"/>
      <c r="V46" s="318"/>
      <c r="W46" s="160"/>
      <c r="X46" s="160"/>
    </row>
    <row r="47" spans="2:24">
      <c r="C47" s="13">
        <v>7</v>
      </c>
      <c r="E47" s="160"/>
      <c r="F47" s="160"/>
      <c r="G47" s="321"/>
      <c r="H47" s="377"/>
      <c r="I47" s="378"/>
      <c r="J47" s="377"/>
      <c r="K47" s="377"/>
      <c r="L47" s="321"/>
      <c r="M47" s="314"/>
      <c r="N47" s="320">
        <f>IF(ISTEXT(M47)=TRUE,(VLOOKUP(M47,'[1]Solid Waste Reference'!$C$79:$G$131,5,FALSE)),0)</f>
        <v>0</v>
      </c>
      <c r="O47" s="321"/>
      <c r="P47" s="380">
        <f t="shared" si="0"/>
        <v>0</v>
      </c>
      <c r="Q47" s="381"/>
      <c r="R47" s="381"/>
      <c r="S47" s="382"/>
      <c r="T47" s="160"/>
      <c r="U47" s="160"/>
      <c r="V47" s="318"/>
      <c r="W47" s="160"/>
      <c r="X47" s="160"/>
    </row>
    <row r="48" spans="2:24">
      <c r="C48" s="13">
        <v>8</v>
      </c>
      <c r="E48" s="160"/>
      <c r="F48" s="160"/>
      <c r="G48" s="321"/>
      <c r="H48" s="377"/>
      <c r="I48" s="378"/>
      <c r="J48" s="377"/>
      <c r="K48" s="377"/>
      <c r="L48" s="321"/>
      <c r="M48" s="314"/>
      <c r="N48" s="320">
        <f>IF(ISTEXT(M48)=TRUE,(VLOOKUP(M48,'[1]Solid Waste Reference'!$C$79:$G$131,5,FALSE)),0)</f>
        <v>0</v>
      </c>
      <c r="O48" s="321"/>
      <c r="P48" s="380">
        <f t="shared" si="0"/>
        <v>0</v>
      </c>
      <c r="Q48" s="381"/>
      <c r="R48" s="381"/>
      <c r="S48" s="382"/>
      <c r="T48" s="160"/>
      <c r="U48" s="160"/>
      <c r="V48" s="318"/>
      <c r="W48" s="160"/>
      <c r="X48" s="160"/>
    </row>
    <row r="49" spans="2:24">
      <c r="C49" s="13">
        <v>9</v>
      </c>
      <c r="E49" s="160"/>
      <c r="F49" s="160"/>
      <c r="G49" s="321"/>
      <c r="H49" s="377"/>
      <c r="I49" s="378"/>
      <c r="J49" s="377"/>
      <c r="K49" s="377"/>
      <c r="L49" s="321"/>
      <c r="M49" s="314"/>
      <c r="N49" s="320">
        <f>IF(ISTEXT(M49)=TRUE,(VLOOKUP(M49,'[1]Solid Waste Reference'!$C$79:$G$131,5,FALSE)),0)</f>
        <v>0</v>
      </c>
      <c r="O49" s="321"/>
      <c r="P49" s="380">
        <f t="shared" si="0"/>
        <v>0</v>
      </c>
      <c r="Q49" s="381"/>
      <c r="R49" s="381"/>
      <c r="S49" s="382"/>
      <c r="T49" s="160"/>
      <c r="U49" s="160"/>
      <c r="V49" s="318"/>
      <c r="W49" s="160"/>
      <c r="X49" s="160"/>
    </row>
    <row r="50" spans="2:24">
      <c r="C50" s="13">
        <v>10</v>
      </c>
      <c r="E50" s="166"/>
      <c r="F50" s="166"/>
      <c r="G50" s="325"/>
      <c r="H50" s="383"/>
      <c r="I50" s="384"/>
      <c r="J50" s="383"/>
      <c r="K50" s="383"/>
      <c r="L50" s="325"/>
      <c r="M50" s="383"/>
      <c r="N50" s="324">
        <f>IF(ISTEXT(M50)=TRUE,(VLOOKUP(M50,'[1]Solid Waste Reference'!$C$79:$G$131,5,FALSE)),0)</f>
        <v>0</v>
      </c>
      <c r="O50" s="325"/>
      <c r="P50" s="385">
        <f t="shared" si="0"/>
        <v>0</v>
      </c>
      <c r="Q50" s="386"/>
      <c r="R50" s="386"/>
      <c r="S50" s="387"/>
      <c r="T50" s="166"/>
      <c r="U50" s="166"/>
      <c r="V50" s="327"/>
      <c r="W50" s="166"/>
      <c r="X50" s="166"/>
    </row>
    <row r="52" spans="2:24" ht="16.5" customHeight="1">
      <c r="B52" s="139">
        <v>5</v>
      </c>
      <c r="C52" s="135" t="s">
        <v>903</v>
      </c>
      <c r="J52" s="31"/>
      <c r="K52" s="31"/>
      <c r="L52" s="31"/>
      <c r="M52" s="31"/>
      <c r="N52" s="31"/>
      <c r="O52" s="31"/>
    </row>
    <row r="53" spans="2:24" s="148" customFormat="1" ht="36" customHeight="1">
      <c r="E53" s="142" t="s">
        <v>331</v>
      </c>
      <c r="F53" s="142" t="s">
        <v>343</v>
      </c>
      <c r="G53" s="142" t="s">
        <v>307</v>
      </c>
      <c r="H53" s="142" t="s">
        <v>311</v>
      </c>
      <c r="I53" s="142" t="s">
        <v>346</v>
      </c>
      <c r="J53" s="142" t="s">
        <v>359</v>
      </c>
      <c r="K53" s="142" t="s">
        <v>362</v>
      </c>
      <c r="L53" s="311"/>
      <c r="M53" s="311"/>
      <c r="N53" s="311"/>
      <c r="O53" s="311"/>
    </row>
    <row r="54" spans="2:24" s="24" customFormat="1">
      <c r="C54" s="373"/>
      <c r="E54" s="388"/>
      <c r="F54" s="265"/>
      <c r="G54" s="153"/>
      <c r="H54" s="312"/>
      <c r="I54" s="153"/>
      <c r="J54" s="389"/>
      <c r="K54" s="389"/>
      <c r="L54" s="187"/>
      <c r="M54" s="187"/>
      <c r="N54" s="187"/>
      <c r="O54" s="187"/>
    </row>
    <row r="55" spans="2:24">
      <c r="C55" s="13">
        <v>1</v>
      </c>
      <c r="E55" s="390" t="str">
        <f t="shared" ref="E55:E64" si="1">E41</f>
        <v>DKP land fill</v>
      </c>
      <c r="F55" s="237">
        <f>G16</f>
        <v>706691.10000000009</v>
      </c>
      <c r="G55" s="158">
        <f t="shared" ref="G55:G64" si="2">IF(J41=$L$101,0.1,0)</f>
        <v>0.1</v>
      </c>
      <c r="H55" s="319">
        <f>IF(K41=0,0,VLOOKUP(K41,'[1]Solid Waste Reference'!$C$37:$D$40,2,FALSE))</f>
        <v>1</v>
      </c>
      <c r="I55" s="158">
        <f>IF(Q41=$J$101,'[1]Solid Waste Reference'!$D$71,0)</f>
        <v>0</v>
      </c>
      <c r="J55" s="389">
        <f>(L41*$E$12)/1000</f>
        <v>4.7420984017259995</v>
      </c>
      <c r="K55" s="389">
        <f t="shared" ref="K55:K64" si="3">(S41*$E$12)/1000</f>
        <v>0</v>
      </c>
      <c r="L55" s="31"/>
      <c r="M55" s="31"/>
      <c r="N55" s="31"/>
      <c r="O55" s="31"/>
    </row>
    <row r="56" spans="2:24">
      <c r="C56" s="13">
        <v>2</v>
      </c>
      <c r="E56" s="390">
        <f t="shared" si="1"/>
        <v>0</v>
      </c>
      <c r="F56" s="237">
        <f t="shared" ref="F56:F64" si="4">I42*$G$15</f>
        <v>0</v>
      </c>
      <c r="G56" s="158">
        <f t="shared" si="2"/>
        <v>0</v>
      </c>
      <c r="H56" s="319">
        <f>IF(K42=0,0,VLOOKUP(K42,'[1]Solid Waste Reference'!$C$37:$D$40,2,FALSE))</f>
        <v>0</v>
      </c>
      <c r="I56" s="158">
        <f>IF(Q42=$J$101,'[1]Solid Waste Reference'!$D$71,0)</f>
        <v>0</v>
      </c>
      <c r="J56" s="389">
        <f t="shared" ref="J56:J64" si="5">(L42*$E$12)/1000</f>
        <v>0</v>
      </c>
      <c r="K56" s="389">
        <f t="shared" si="3"/>
        <v>0</v>
      </c>
      <c r="L56" s="31"/>
      <c r="M56" s="31"/>
      <c r="N56" s="31"/>
      <c r="O56" s="31"/>
    </row>
    <row r="57" spans="2:24">
      <c r="C57" s="13">
        <v>3</v>
      </c>
      <c r="E57" s="390">
        <f t="shared" si="1"/>
        <v>0</v>
      </c>
      <c r="F57" s="237">
        <f t="shared" si="4"/>
        <v>0</v>
      </c>
      <c r="G57" s="158">
        <f t="shared" si="2"/>
        <v>0</v>
      </c>
      <c r="H57" s="319">
        <f>IF(K43=0,0,VLOOKUP(K43,'[1]Solid Waste Reference'!$C$37:$D$40,2,FALSE))</f>
        <v>0</v>
      </c>
      <c r="I57" s="158">
        <f>IF(Q43=$J$101,'[1]Solid Waste Reference'!$D$71,0)</f>
        <v>0</v>
      </c>
      <c r="J57" s="389">
        <f t="shared" si="5"/>
        <v>0</v>
      </c>
      <c r="K57" s="389">
        <f t="shared" si="3"/>
        <v>0</v>
      </c>
      <c r="L57" s="31"/>
      <c r="M57" s="31"/>
      <c r="N57" s="31"/>
      <c r="O57" s="31"/>
    </row>
    <row r="58" spans="2:24">
      <c r="C58" s="13">
        <v>4</v>
      </c>
      <c r="E58" s="390">
        <f t="shared" si="1"/>
        <v>0</v>
      </c>
      <c r="F58" s="237">
        <f t="shared" si="4"/>
        <v>0</v>
      </c>
      <c r="G58" s="158">
        <f t="shared" si="2"/>
        <v>0</v>
      </c>
      <c r="H58" s="319">
        <f>IF(K44=0,0,VLOOKUP(K44,'[1]Solid Waste Reference'!$C$37:$D$40,2,FALSE))</f>
        <v>0</v>
      </c>
      <c r="I58" s="158">
        <f>IF(Q44=$J$101,'[1]Solid Waste Reference'!$D$71,0)</f>
        <v>0</v>
      </c>
      <c r="J58" s="389">
        <f t="shared" si="5"/>
        <v>0</v>
      </c>
      <c r="K58" s="389">
        <f t="shared" si="3"/>
        <v>0</v>
      </c>
      <c r="L58" s="31"/>
      <c r="M58" s="31"/>
      <c r="N58" s="31"/>
      <c r="O58" s="31"/>
    </row>
    <row r="59" spans="2:24">
      <c r="C59" s="13">
        <v>5</v>
      </c>
      <c r="E59" s="390">
        <f t="shared" si="1"/>
        <v>0</v>
      </c>
      <c r="F59" s="237">
        <f t="shared" si="4"/>
        <v>0</v>
      </c>
      <c r="G59" s="158">
        <f t="shared" si="2"/>
        <v>0</v>
      </c>
      <c r="H59" s="319">
        <f>IF(K45=0,0,VLOOKUP(K45,'[1]Solid Waste Reference'!$C$37:$D$40,2,FALSE))</f>
        <v>0</v>
      </c>
      <c r="I59" s="158">
        <f>IF(Q45=$J$101,'[1]Solid Waste Reference'!$D$71,0)</f>
        <v>0</v>
      </c>
      <c r="J59" s="389">
        <f t="shared" si="5"/>
        <v>0</v>
      </c>
      <c r="K59" s="389">
        <f t="shared" si="3"/>
        <v>0</v>
      </c>
    </row>
    <row r="60" spans="2:24">
      <c r="C60" s="13">
        <v>6</v>
      </c>
      <c r="E60" s="390">
        <f t="shared" si="1"/>
        <v>0</v>
      </c>
      <c r="F60" s="237">
        <f t="shared" si="4"/>
        <v>0</v>
      </c>
      <c r="G60" s="158">
        <f t="shared" si="2"/>
        <v>0</v>
      </c>
      <c r="H60" s="319">
        <f>IF(K46=0,0,VLOOKUP(K46,'[1]Solid Waste Reference'!$C$37:$D$40,2,FALSE))</f>
        <v>0</v>
      </c>
      <c r="I60" s="158">
        <f>IF(Q46=$J$101,'[1]Solid Waste Reference'!$D$71,0)</f>
        <v>0</v>
      </c>
      <c r="J60" s="389">
        <f t="shared" si="5"/>
        <v>0</v>
      </c>
      <c r="K60" s="389">
        <f t="shared" si="3"/>
        <v>0</v>
      </c>
    </row>
    <row r="61" spans="2:24">
      <c r="C61" s="13">
        <v>7</v>
      </c>
      <c r="E61" s="390">
        <f t="shared" si="1"/>
        <v>0</v>
      </c>
      <c r="F61" s="237">
        <f t="shared" si="4"/>
        <v>0</v>
      </c>
      <c r="G61" s="158">
        <f t="shared" si="2"/>
        <v>0</v>
      </c>
      <c r="H61" s="319">
        <f>IF(K47=0,0,VLOOKUP(K47,'[1]Solid Waste Reference'!$C$37:$D$40,2,FALSE))</f>
        <v>0</v>
      </c>
      <c r="I61" s="158">
        <f>IF(Q47=$J$101,'[1]Solid Waste Reference'!$D$71,0)</f>
        <v>0</v>
      </c>
      <c r="J61" s="389">
        <f t="shared" si="5"/>
        <v>0</v>
      </c>
      <c r="K61" s="389">
        <f t="shared" si="3"/>
        <v>0</v>
      </c>
    </row>
    <row r="62" spans="2:24">
      <c r="C62" s="13">
        <v>8</v>
      </c>
      <c r="E62" s="390">
        <f t="shared" si="1"/>
        <v>0</v>
      </c>
      <c r="F62" s="237">
        <f t="shared" si="4"/>
        <v>0</v>
      </c>
      <c r="G62" s="158">
        <f t="shared" si="2"/>
        <v>0</v>
      </c>
      <c r="H62" s="319">
        <f>IF(K48=0,0,VLOOKUP(K48,'[1]Solid Waste Reference'!$C$37:$D$40,2,FALSE))</f>
        <v>0</v>
      </c>
      <c r="I62" s="158">
        <f>IF(Q48=$J$101,'[1]Solid Waste Reference'!$D$71,0)</f>
        <v>0</v>
      </c>
      <c r="J62" s="389">
        <f t="shared" si="5"/>
        <v>0</v>
      </c>
      <c r="K62" s="389">
        <f t="shared" si="3"/>
        <v>0</v>
      </c>
    </row>
    <row r="63" spans="2:24">
      <c r="C63" s="13">
        <v>9</v>
      </c>
      <c r="E63" s="390">
        <f t="shared" si="1"/>
        <v>0</v>
      </c>
      <c r="F63" s="237">
        <f t="shared" si="4"/>
        <v>0</v>
      </c>
      <c r="G63" s="158">
        <f t="shared" si="2"/>
        <v>0</v>
      </c>
      <c r="H63" s="319">
        <f>IF(K49=0,0,VLOOKUP(K49,'[1]Solid Waste Reference'!$C$37:$D$40,2,FALSE))</f>
        <v>0</v>
      </c>
      <c r="I63" s="158">
        <f>IF(Q49=$J$101,'[1]Solid Waste Reference'!$D$71,0)</f>
        <v>0</v>
      </c>
      <c r="J63" s="389">
        <f t="shared" si="5"/>
        <v>0</v>
      </c>
      <c r="K63" s="389">
        <f t="shared" si="3"/>
        <v>0</v>
      </c>
    </row>
    <row r="64" spans="2:24" ht="15" thickBot="1">
      <c r="C64" s="13">
        <v>10</v>
      </c>
      <c r="E64" s="391">
        <f t="shared" si="1"/>
        <v>0</v>
      </c>
      <c r="F64" s="256">
        <f t="shared" si="4"/>
        <v>0</v>
      </c>
      <c r="G64" s="169">
        <f t="shared" si="2"/>
        <v>0</v>
      </c>
      <c r="H64" s="240">
        <f>IF(K50=0,0,VLOOKUP(K50,'[1]Solid Waste Reference'!$C$37:$D$40,2,FALSE))</f>
        <v>0</v>
      </c>
      <c r="I64" s="169">
        <f>IF(Q50=$J$101,'[1]Solid Waste Reference'!$D$71,0)</f>
        <v>0</v>
      </c>
      <c r="J64" s="389">
        <f t="shared" si="5"/>
        <v>0</v>
      </c>
      <c r="K64" s="322">
        <f t="shared" si="3"/>
        <v>0</v>
      </c>
    </row>
    <row r="65" spans="3:10" ht="15" thickBot="1">
      <c r="J65" s="392">
        <f>SUM(J54:J64)</f>
        <v>4.7420984017259995</v>
      </c>
    </row>
    <row r="66" spans="3:10">
      <c r="I66" s="31"/>
      <c r="J66" s="31"/>
    </row>
    <row r="67" spans="3:10" ht="15">
      <c r="E67" s="200" t="s">
        <v>285</v>
      </c>
      <c r="F67" s="328" t="s">
        <v>349</v>
      </c>
      <c r="G67" s="328" t="s">
        <v>347</v>
      </c>
      <c r="H67" s="328" t="s">
        <v>348</v>
      </c>
      <c r="I67" s="393" t="s">
        <v>354</v>
      </c>
      <c r="J67" s="31"/>
    </row>
    <row r="68" spans="3:10">
      <c r="D68" s="13">
        <v>1</v>
      </c>
      <c r="E68" s="13" t="s">
        <v>274</v>
      </c>
      <c r="F68" s="237">
        <f>G21*$G$16</f>
        <v>484083.40350000007</v>
      </c>
      <c r="G68" s="137">
        <f>IF($G$36=$I$101,(VLOOKUP(E68,'[1]Solid Waste Reference'!$C$45:$E$52,2,FALSE)),(VLOOKUP(E68,'[1]Solid Waste Reference'!$C$45:$E$52,3,FALSE)))</f>
        <v>0.15</v>
      </c>
      <c r="H68" s="307">
        <f>HLOOKUP(CONCATENATE($G$34,$G$35),'[1]Solid Waste Reference'!$D$56:$G$60,D68+1,FALSE)</f>
        <v>0.4</v>
      </c>
      <c r="I68" s="394">
        <f>F68*G68*EXP(-1*H68)*(1-EXP(-1*H68))</f>
        <v>16046.717261732243</v>
      </c>
      <c r="J68" s="395"/>
    </row>
    <row r="69" spans="3:10">
      <c r="D69" s="13">
        <v>2</v>
      </c>
      <c r="E69" s="13" t="s">
        <v>275</v>
      </c>
      <c r="F69" s="237">
        <f t="shared" ref="F69:F76" si="6">G22*$G$16</f>
        <v>43108.157100000004</v>
      </c>
      <c r="G69" s="137">
        <f>IF($G$36=$I$101,(VLOOKUP(E69,'[1]Solid Waste Reference'!$C$45:$E$52,2,FALSE)),(VLOOKUP(E69,'[1]Solid Waste Reference'!$C$45:$E$52,3,FALSE)))</f>
        <v>0.4</v>
      </c>
      <c r="H69" s="307">
        <f>HLOOKUP(CONCATENATE($G$34,$G$35),'[1]Solid Waste Reference'!$D$56:$G$60,D69+1,FALSE)</f>
        <v>7.0000000000000007E-2</v>
      </c>
      <c r="I69" s="394">
        <f t="shared" ref="I69:I76" si="7">F69*G69*EXP(-1*H69)*(1-EXP(-1*H69))</f>
        <v>1086.939151929688</v>
      </c>
      <c r="J69" s="31"/>
    </row>
    <row r="70" spans="3:10">
      <c r="D70" s="13">
        <v>3</v>
      </c>
      <c r="E70" s="13" t="s">
        <v>276</v>
      </c>
      <c r="F70" s="237">
        <f t="shared" si="6"/>
        <v>16253.895300000002</v>
      </c>
      <c r="G70" s="137">
        <f>IF($G$36=$I$101,(VLOOKUP(E70,'[1]Solid Waste Reference'!$C$45:$E$52,2,FALSE)),(VLOOKUP(E70,'[1]Solid Waste Reference'!$C$45:$E$52,3,FALSE)))</f>
        <v>0.43</v>
      </c>
      <c r="H70" s="307">
        <f>HLOOKUP(CONCATENATE($G$34,$G$35),'[1]Solid Waste Reference'!$D$56:$G$60,D70+1,FALSE)</f>
        <v>3.5000000000000003E-2</v>
      </c>
      <c r="I70" s="394">
        <f t="shared" si="7"/>
        <v>232.12165823337807</v>
      </c>
      <c r="J70" s="31"/>
    </row>
    <row r="71" spans="3:10">
      <c r="D71" s="13">
        <v>4</v>
      </c>
      <c r="E71" s="13" t="s">
        <v>5</v>
      </c>
      <c r="F71" s="237">
        <f t="shared" si="6"/>
        <v>28267.644000000004</v>
      </c>
      <c r="G71" s="137">
        <f>IF($G$36=$I$101,(VLOOKUP(E71,'[1]Solid Waste Reference'!$C$45:$E$52,2,FALSE)),(VLOOKUP(E71,'[1]Solid Waste Reference'!$C$45:$E$52,3,FALSE)))</f>
        <v>0.24</v>
      </c>
      <c r="H71" s="307">
        <f>HLOOKUP(CONCATENATE($G$34,$G$35),'[1]Solid Waste Reference'!$D$56:$G$60,D71+1,FALSE)</f>
        <v>7.0000000000000007E-2</v>
      </c>
      <c r="I71" s="394">
        <f t="shared" si="7"/>
        <v>427.64819092315588</v>
      </c>
      <c r="J71" s="31"/>
    </row>
    <row r="72" spans="3:10">
      <c r="D72" s="13">
        <v>5</v>
      </c>
      <c r="E72" s="13" t="s">
        <v>277</v>
      </c>
      <c r="F72" s="237">
        <f t="shared" si="6"/>
        <v>3533.4555000000005</v>
      </c>
      <c r="G72" s="137">
        <f>IF($G$36=$I$101,(VLOOKUP(E72,'[1]Solid Waste Reference'!$C$45:$E$52,2,FALSE)),(VLOOKUP(E72,'[1]Solid Waste Reference'!$C$45:$E$52,3,FALSE)))</f>
        <v>0</v>
      </c>
      <c r="H72" s="137">
        <v>0</v>
      </c>
      <c r="I72" s="394">
        <f t="shared" si="7"/>
        <v>0</v>
      </c>
      <c r="J72" s="31"/>
    </row>
    <row r="73" spans="3:10">
      <c r="D73" s="13">
        <v>6</v>
      </c>
      <c r="E73" s="13" t="s">
        <v>278</v>
      </c>
      <c r="F73" s="237">
        <f t="shared" si="6"/>
        <v>87629.696400000015</v>
      </c>
      <c r="G73" s="137">
        <f>IF($G$36=$I$101,(VLOOKUP(E73,'[1]Solid Waste Reference'!$C$45:$E$52,2,FALSE)),(VLOOKUP(E73,'[1]Solid Waste Reference'!$C$45:$E$52,3,FALSE)))</f>
        <v>0</v>
      </c>
      <c r="H73" s="137">
        <v>0</v>
      </c>
      <c r="I73" s="394">
        <f t="shared" si="7"/>
        <v>0</v>
      </c>
      <c r="J73" s="31"/>
    </row>
    <row r="74" spans="3:10">
      <c r="D74" s="13">
        <v>7</v>
      </c>
      <c r="E74" s="13" t="s">
        <v>279</v>
      </c>
      <c r="F74" s="237">
        <f t="shared" si="6"/>
        <v>7066.911000000001</v>
      </c>
      <c r="G74" s="137">
        <f>IF($G$36=$I$101,(VLOOKUP(E74,'[1]Solid Waste Reference'!$C$45:$E$52,2,FALSE)),(VLOOKUP(E74,'[1]Solid Waste Reference'!$C$45:$E$52,3,FALSE)))</f>
        <v>0</v>
      </c>
      <c r="H74" s="137">
        <v>0</v>
      </c>
      <c r="I74" s="394">
        <f t="shared" si="7"/>
        <v>0</v>
      </c>
      <c r="J74" s="31"/>
    </row>
    <row r="75" spans="3:10">
      <c r="D75" s="13">
        <v>8</v>
      </c>
      <c r="E75" s="31" t="s">
        <v>280</v>
      </c>
      <c r="F75" s="237">
        <f t="shared" si="6"/>
        <v>9893.6754000000001</v>
      </c>
      <c r="G75" s="137">
        <f>IF($G$36=$I$101,(VLOOKUP(E75,'[1]Solid Waste Reference'!$C$45:$E$52,2,FALSE)),(VLOOKUP(E75,'[1]Solid Waste Reference'!$C$45:$E$52,3,FALSE)))</f>
        <v>0</v>
      </c>
      <c r="H75" s="137">
        <v>0</v>
      </c>
      <c r="I75" s="394">
        <f t="shared" si="7"/>
        <v>0</v>
      </c>
      <c r="J75" s="31"/>
    </row>
    <row r="76" spans="3:10">
      <c r="D76" s="13">
        <v>9</v>
      </c>
      <c r="E76" s="35" t="s">
        <v>281</v>
      </c>
      <c r="F76" s="256">
        <f t="shared" si="6"/>
        <v>26854.261800000004</v>
      </c>
      <c r="G76" s="167">
        <v>0</v>
      </c>
      <c r="H76" s="167">
        <v>0</v>
      </c>
      <c r="I76" s="396">
        <f t="shared" si="7"/>
        <v>0</v>
      </c>
      <c r="J76" s="31"/>
    </row>
    <row r="77" spans="3:10">
      <c r="I77" s="31"/>
      <c r="J77" s="31"/>
    </row>
    <row r="78" spans="3:10" ht="15">
      <c r="E78" s="328" t="s">
        <v>360</v>
      </c>
      <c r="I78" s="31"/>
      <c r="J78" s="31"/>
    </row>
    <row r="79" spans="3:10" s="24" customFormat="1">
      <c r="C79" s="373"/>
      <c r="E79" s="153">
        <f>((0.9*(1-I54)*21*(1-G54)*(6/12)*0.5*0.5*H54)*SUM(I68:$I$76))+J54-K54</f>
        <v>0</v>
      </c>
      <c r="I79" s="187"/>
      <c r="J79" s="187"/>
    </row>
    <row r="80" spans="3:10">
      <c r="C80" s="13">
        <v>1</v>
      </c>
      <c r="E80" s="158">
        <f>(0.9*(1-I55)*21*(1-G55)*(6/12)*0.5*0.5*H55)*SUM(I68:$I$76)</f>
        <v>37833.272591317756</v>
      </c>
    </row>
    <row r="81" spans="2:7">
      <c r="C81" s="13">
        <v>2</v>
      </c>
      <c r="E81" s="158">
        <f>(0.9*(1-I56)*21*(1-G56)*(6/12)*0.5*0.5*H56)*SUM(I70:$I$76)</f>
        <v>0</v>
      </c>
    </row>
    <row r="82" spans="2:7">
      <c r="C82" s="13">
        <v>3</v>
      </c>
      <c r="E82" s="158">
        <f>(0.9*(1-I57)*21*(1-G57)*(6/12)*0.5*0.5*H57)*SUM(I71:$I$76)</f>
        <v>0</v>
      </c>
    </row>
    <row r="83" spans="2:7">
      <c r="C83" s="13">
        <v>4</v>
      </c>
      <c r="E83" s="158">
        <f>(0.9*(1-I58)*21*(1-G58)*(6/12)*0.5*0.5*H58)*SUM(I72:$I$76)</f>
        <v>0</v>
      </c>
    </row>
    <row r="84" spans="2:7">
      <c r="C84" s="13">
        <v>5</v>
      </c>
      <c r="E84" s="158">
        <f>(0.9*(1-I59)*21*(1-G59)*(6/12)*0.5*0.5*H59)*SUM(I73:$I$76)</f>
        <v>0</v>
      </c>
    </row>
    <row r="85" spans="2:7">
      <c r="C85" s="13">
        <v>6</v>
      </c>
      <c r="E85" s="158">
        <f>(0.9*(1-I60)*21*(1-G60)*(6/12)*0.5*0.5*H60)*SUM(I74:$I$76)</f>
        <v>0</v>
      </c>
    </row>
    <row r="86" spans="2:7">
      <c r="C86" s="13">
        <v>7</v>
      </c>
      <c r="E86" s="158">
        <f>(0.9*(1-I61)*21*(1-G61)*(6/12)*0.5*0.5*H61)*SUM(I75:$I$76)</f>
        <v>0</v>
      </c>
    </row>
    <row r="87" spans="2:7">
      <c r="C87" s="13">
        <v>8</v>
      </c>
      <c r="E87" s="158">
        <f>(0.9*(1-I62)*21*(1-G62)*(6/12)*0.5*0.5*H62)*SUM(I76:$I$76)</f>
        <v>0</v>
      </c>
    </row>
    <row r="88" spans="2:7">
      <c r="C88" s="13">
        <v>9</v>
      </c>
      <c r="E88" s="158">
        <f>(0.9*(1-I63)*21*(1-G63)*(6/12)*0.5*0.5*H63)*SUM(I$76:$I77)</f>
        <v>0</v>
      </c>
    </row>
    <row r="89" spans="2:7">
      <c r="C89" s="13">
        <v>10</v>
      </c>
      <c r="E89" s="158">
        <f>(0.9*(1-I64)*21*(1-G64)*(6/12)*0.5*0.5*H64)*SUM(I$76:$I78)</f>
        <v>0</v>
      </c>
    </row>
    <row r="90" spans="2:7" ht="15">
      <c r="C90" s="397" t="s">
        <v>252</v>
      </c>
      <c r="E90" s="398">
        <f>SUM(E79:E89)</f>
        <v>37833.272591317756</v>
      </c>
    </row>
    <row r="92" spans="2:7" ht="18">
      <c r="B92" s="139">
        <v>6</v>
      </c>
      <c r="C92" s="135" t="s">
        <v>500</v>
      </c>
      <c r="E92" s="399"/>
      <c r="F92" s="135"/>
    </row>
    <row r="93" spans="2:7" ht="15">
      <c r="E93" s="135" t="s">
        <v>567</v>
      </c>
      <c r="F93" s="350">
        <f>E90</f>
        <v>37833.272591317756</v>
      </c>
      <c r="G93" s="135" t="s">
        <v>502</v>
      </c>
    </row>
    <row r="94" spans="2:7" ht="15">
      <c r="E94" s="135" t="s">
        <v>896</v>
      </c>
      <c r="F94" s="352">
        <f>J65</f>
        <v>4.7420984017259995</v>
      </c>
      <c r="G94" s="135" t="s">
        <v>502</v>
      </c>
    </row>
    <row r="95" spans="2:7" ht="15">
      <c r="E95" s="135" t="s">
        <v>897</v>
      </c>
      <c r="F95" s="350">
        <f>SUM(F93:F94)</f>
        <v>37838.014689719479</v>
      </c>
      <c r="G95" s="135" t="s">
        <v>502</v>
      </c>
    </row>
    <row r="97" spans="3:15" s="35" customFormat="1"/>
    <row r="98" spans="3:15" ht="18">
      <c r="C98" s="188" t="s">
        <v>246</v>
      </c>
    </row>
    <row r="100" spans="3:15" ht="15">
      <c r="C100" s="189" t="s">
        <v>254</v>
      </c>
      <c r="E100" s="190" t="s">
        <v>200</v>
      </c>
      <c r="F100" s="189" t="s">
        <v>197</v>
      </c>
      <c r="G100" s="189" t="s">
        <v>296</v>
      </c>
      <c r="H100" s="189" t="s">
        <v>297</v>
      </c>
      <c r="I100" s="189" t="s">
        <v>302</v>
      </c>
      <c r="J100" s="189" t="s">
        <v>336</v>
      </c>
      <c r="K100" s="400" t="s">
        <v>2</v>
      </c>
      <c r="L100" s="189" t="s">
        <v>306</v>
      </c>
      <c r="M100" s="189" t="s">
        <v>335</v>
      </c>
      <c r="O100" s="189" t="s">
        <v>215</v>
      </c>
    </row>
    <row r="101" spans="3:15">
      <c r="C101" s="13" t="s">
        <v>255</v>
      </c>
      <c r="E101" s="13" t="s">
        <v>183</v>
      </c>
      <c r="F101" s="31" t="s">
        <v>507</v>
      </c>
      <c r="G101" s="13" t="s">
        <v>298</v>
      </c>
      <c r="H101" s="13" t="s">
        <v>300</v>
      </c>
      <c r="I101" s="13" t="s">
        <v>303</v>
      </c>
      <c r="J101" s="13" t="s">
        <v>337</v>
      </c>
      <c r="K101" s="401">
        <v>0.05</v>
      </c>
      <c r="L101" s="13" t="s">
        <v>339</v>
      </c>
      <c r="M101" s="31" t="s">
        <v>312</v>
      </c>
      <c r="O101" s="13" t="s">
        <v>216</v>
      </c>
    </row>
    <row r="102" spans="3:15">
      <c r="C102" s="13" t="s">
        <v>256</v>
      </c>
      <c r="E102" s="13" t="s">
        <v>184</v>
      </c>
      <c r="F102" s="31" t="s">
        <v>508</v>
      </c>
      <c r="G102" s="13" t="s">
        <v>299</v>
      </c>
      <c r="H102" s="13" t="s">
        <v>301</v>
      </c>
      <c r="I102" s="13" t="s">
        <v>304</v>
      </c>
      <c r="J102" s="13" t="s">
        <v>338</v>
      </c>
      <c r="K102" s="401">
        <v>0.1</v>
      </c>
      <c r="L102" s="13" t="s">
        <v>904</v>
      </c>
      <c r="M102" s="31" t="s">
        <v>313</v>
      </c>
      <c r="O102" s="13" t="s">
        <v>217</v>
      </c>
    </row>
    <row r="103" spans="3:15">
      <c r="C103" s="13" t="s">
        <v>257</v>
      </c>
      <c r="E103" s="13" t="s">
        <v>185</v>
      </c>
      <c r="F103" s="31" t="s">
        <v>509</v>
      </c>
      <c r="J103" s="13" t="s">
        <v>340</v>
      </c>
      <c r="K103" s="401">
        <v>0.15</v>
      </c>
      <c r="M103" s="31" t="s">
        <v>315</v>
      </c>
      <c r="O103" s="13" t="s">
        <v>218</v>
      </c>
    </row>
    <row r="104" spans="3:15">
      <c r="C104" s="13" t="s">
        <v>258</v>
      </c>
      <c r="E104" s="13" t="s">
        <v>186</v>
      </c>
      <c r="F104" s="31" t="s">
        <v>510</v>
      </c>
      <c r="K104" s="401">
        <v>0.2</v>
      </c>
      <c r="M104" s="31" t="s">
        <v>314</v>
      </c>
      <c r="O104" s="13" t="s">
        <v>3</v>
      </c>
    </row>
    <row r="105" spans="3:15">
      <c r="C105" s="13" t="s">
        <v>259</v>
      </c>
      <c r="E105" s="13" t="s">
        <v>187</v>
      </c>
      <c r="F105" s="31" t="s">
        <v>511</v>
      </c>
      <c r="K105" s="401">
        <v>0.25</v>
      </c>
      <c r="N105" s="31"/>
    </row>
    <row r="106" spans="3:15">
      <c r="C106" s="13" t="s">
        <v>260</v>
      </c>
      <c r="E106" s="13" t="s">
        <v>188</v>
      </c>
      <c r="F106" s="31" t="s">
        <v>512</v>
      </c>
      <c r="K106" s="401">
        <v>0.3</v>
      </c>
      <c r="N106" s="31"/>
    </row>
    <row r="107" spans="3:15">
      <c r="C107" s="13" t="s">
        <v>261</v>
      </c>
      <c r="E107" s="13" t="s">
        <v>189</v>
      </c>
      <c r="F107" s="31" t="s">
        <v>513</v>
      </c>
      <c r="K107" s="401">
        <v>0.35</v>
      </c>
    </row>
    <row r="108" spans="3:15">
      <c r="C108" s="13" t="s">
        <v>262</v>
      </c>
      <c r="E108" s="13" t="s">
        <v>190</v>
      </c>
      <c r="F108" s="31" t="s">
        <v>514</v>
      </c>
      <c r="K108" s="401">
        <v>0.4</v>
      </c>
    </row>
    <row r="109" spans="3:15">
      <c r="C109" s="13" t="s">
        <v>263</v>
      </c>
      <c r="E109" s="13" t="s">
        <v>191</v>
      </c>
      <c r="F109" s="31" t="s">
        <v>515</v>
      </c>
      <c r="K109" s="401">
        <v>0.45</v>
      </c>
    </row>
    <row r="110" spans="3:15">
      <c r="C110" s="13" t="s">
        <v>264</v>
      </c>
      <c r="E110" s="13" t="s">
        <v>192</v>
      </c>
      <c r="F110" s="31" t="s">
        <v>516</v>
      </c>
      <c r="K110" s="401">
        <v>0.5</v>
      </c>
    </row>
    <row r="111" spans="3:15">
      <c r="C111" s="13" t="s">
        <v>265</v>
      </c>
      <c r="E111" s="13" t="s">
        <v>40</v>
      </c>
      <c r="F111" s="31" t="s">
        <v>517</v>
      </c>
      <c r="K111" s="401">
        <v>0.55000000000000004</v>
      </c>
    </row>
    <row r="112" spans="3:15">
      <c r="C112" s="13" t="s">
        <v>266</v>
      </c>
      <c r="E112" s="13" t="s">
        <v>41</v>
      </c>
      <c r="F112" s="31" t="s">
        <v>518</v>
      </c>
      <c r="K112" s="401">
        <v>0.6</v>
      </c>
    </row>
    <row r="113" spans="3:11">
      <c r="C113" s="13" t="s">
        <v>267</v>
      </c>
      <c r="E113" s="13" t="s">
        <v>42</v>
      </c>
      <c r="F113" s="31" t="s">
        <v>519</v>
      </c>
      <c r="K113" s="401">
        <v>0.65</v>
      </c>
    </row>
    <row r="114" spans="3:11">
      <c r="C114" s="13" t="s">
        <v>268</v>
      </c>
      <c r="E114" s="13" t="s">
        <v>43</v>
      </c>
      <c r="F114" s="31" t="s">
        <v>520</v>
      </c>
      <c r="K114" s="401">
        <v>0.7</v>
      </c>
    </row>
    <row r="115" spans="3:11">
      <c r="C115" s="13" t="s">
        <v>269</v>
      </c>
      <c r="E115" s="13" t="s">
        <v>44</v>
      </c>
      <c r="F115" s="31" t="s">
        <v>521</v>
      </c>
      <c r="K115" s="401">
        <v>0.75</v>
      </c>
    </row>
    <row r="116" spans="3:11">
      <c r="C116" s="13" t="s">
        <v>270</v>
      </c>
      <c r="E116" s="13" t="s">
        <v>45</v>
      </c>
      <c r="F116" s="31" t="s">
        <v>522</v>
      </c>
      <c r="K116" s="401">
        <v>0.8</v>
      </c>
    </row>
    <row r="117" spans="3:11">
      <c r="C117" s="13" t="s">
        <v>271</v>
      </c>
      <c r="E117" s="13" t="s">
        <v>46</v>
      </c>
      <c r="F117" s="193" t="s">
        <v>523</v>
      </c>
      <c r="K117" s="401">
        <v>0.85</v>
      </c>
    </row>
    <row r="118" spans="3:11">
      <c r="C118" s="13" t="s">
        <v>272</v>
      </c>
      <c r="E118" s="13" t="s">
        <v>47</v>
      </c>
      <c r="F118" s="31" t="s">
        <v>524</v>
      </c>
      <c r="K118" s="401">
        <v>0.9</v>
      </c>
    </row>
    <row r="119" spans="3:11">
      <c r="C119" s="13" t="s">
        <v>273</v>
      </c>
      <c r="E119" s="13" t="s">
        <v>48</v>
      </c>
      <c r="F119" s="31" t="s">
        <v>525</v>
      </c>
      <c r="K119" s="401">
        <v>0.95</v>
      </c>
    </row>
    <row r="120" spans="3:11">
      <c r="C120" s="31" t="s">
        <v>284</v>
      </c>
      <c r="E120" s="13" t="s">
        <v>49</v>
      </c>
      <c r="F120" s="31" t="s">
        <v>526</v>
      </c>
      <c r="K120" s="401">
        <v>1</v>
      </c>
    </row>
    <row r="121" spans="3:11">
      <c r="C121" s="31"/>
      <c r="E121" s="13" t="s">
        <v>50</v>
      </c>
      <c r="F121" s="31" t="s">
        <v>527</v>
      </c>
    </row>
    <row r="122" spans="3:11">
      <c r="E122" s="13" t="s">
        <v>51</v>
      </c>
      <c r="F122" s="193" t="s">
        <v>528</v>
      </c>
    </row>
    <row r="123" spans="3:11">
      <c r="E123" s="13" t="s">
        <v>52</v>
      </c>
      <c r="F123" s="194" t="s">
        <v>529</v>
      </c>
    </row>
    <row r="124" spans="3:11">
      <c r="E124" s="13" t="s">
        <v>53</v>
      </c>
      <c r="F124" s="31" t="s">
        <v>530</v>
      </c>
    </row>
    <row r="125" spans="3:11">
      <c r="E125" s="13" t="s">
        <v>54</v>
      </c>
      <c r="F125" s="31" t="s">
        <v>531</v>
      </c>
    </row>
    <row r="126" spans="3:11">
      <c r="E126" s="13" t="s">
        <v>55</v>
      </c>
      <c r="F126" s="31" t="s">
        <v>532</v>
      </c>
    </row>
    <row r="127" spans="3:11">
      <c r="E127" s="13" t="s">
        <v>56</v>
      </c>
      <c r="F127" s="31" t="s">
        <v>533</v>
      </c>
    </row>
    <row r="128" spans="3:11">
      <c r="E128" s="13" t="s">
        <v>57</v>
      </c>
      <c r="F128" s="31" t="s">
        <v>534</v>
      </c>
    </row>
    <row r="129" spans="5:6">
      <c r="E129" s="13" t="s">
        <v>58</v>
      </c>
      <c r="F129" s="31" t="s">
        <v>535</v>
      </c>
    </row>
    <row r="130" spans="5:6">
      <c r="E130" s="13" t="s">
        <v>59</v>
      </c>
      <c r="F130" s="31" t="s">
        <v>536</v>
      </c>
    </row>
    <row r="131" spans="5:6">
      <c r="E131" s="13" t="s">
        <v>60</v>
      </c>
      <c r="F131" s="31" t="s">
        <v>537</v>
      </c>
    </row>
    <row r="132" spans="5:6">
      <c r="E132" s="13" t="s">
        <v>61</v>
      </c>
      <c r="F132" s="31" t="s">
        <v>557</v>
      </c>
    </row>
    <row r="133" spans="5:6">
      <c r="E133" s="13" t="s">
        <v>62</v>
      </c>
      <c r="F133" s="31" t="s">
        <v>538</v>
      </c>
    </row>
    <row r="134" spans="5:6">
      <c r="E134" s="13" t="s">
        <v>135</v>
      </c>
      <c r="F134" s="31" t="s">
        <v>539</v>
      </c>
    </row>
    <row r="135" spans="5:6">
      <c r="E135" s="13" t="s">
        <v>63</v>
      </c>
      <c r="F135" s="31" t="s">
        <v>540</v>
      </c>
    </row>
    <row r="136" spans="5:6">
      <c r="E136" s="13" t="s">
        <v>64</v>
      </c>
      <c r="F136" s="31" t="s">
        <v>541</v>
      </c>
    </row>
    <row r="137" spans="5:6">
      <c r="E137" s="13" t="s">
        <v>65</v>
      </c>
      <c r="F137" s="31" t="s">
        <v>542</v>
      </c>
    </row>
    <row r="138" spans="5:6">
      <c r="E138" s="13" t="s">
        <v>73</v>
      </c>
      <c r="F138" s="31" t="s">
        <v>509</v>
      </c>
    </row>
    <row r="139" spans="5:6">
      <c r="E139" s="13" t="s">
        <v>66</v>
      </c>
      <c r="F139" s="31" t="s">
        <v>543</v>
      </c>
    </row>
    <row r="140" spans="5:6">
      <c r="E140" s="13" t="s">
        <v>67</v>
      </c>
      <c r="F140" s="31" t="s">
        <v>544</v>
      </c>
    </row>
    <row r="141" spans="5:6">
      <c r="E141" s="13" t="s">
        <v>68</v>
      </c>
      <c r="F141" s="31" t="s">
        <v>545</v>
      </c>
    </row>
    <row r="142" spans="5:6">
      <c r="E142" s="13" t="s">
        <v>69</v>
      </c>
      <c r="F142" s="31" t="s">
        <v>546</v>
      </c>
    </row>
    <row r="143" spans="5:6">
      <c r="E143" s="13" t="s">
        <v>70</v>
      </c>
      <c r="F143" s="193" t="s">
        <v>276</v>
      </c>
    </row>
    <row r="144" spans="5:6">
      <c r="E144" s="13" t="s">
        <v>71</v>
      </c>
      <c r="F144" s="195" t="s">
        <v>547</v>
      </c>
    </row>
    <row r="145" spans="5:6">
      <c r="E145" s="13" t="s">
        <v>74</v>
      </c>
      <c r="F145" s="31" t="s">
        <v>548</v>
      </c>
    </row>
    <row r="146" spans="5:6">
      <c r="E146" s="13" t="s">
        <v>75</v>
      </c>
      <c r="F146" s="31" t="s">
        <v>549</v>
      </c>
    </row>
    <row r="147" spans="5:6">
      <c r="E147" s="13" t="s">
        <v>76</v>
      </c>
      <c r="F147" s="31" t="s">
        <v>550</v>
      </c>
    </row>
    <row r="148" spans="5:6">
      <c r="E148" s="13" t="s">
        <v>9</v>
      </c>
      <c r="F148" s="31" t="s">
        <v>551</v>
      </c>
    </row>
    <row r="149" spans="5:6">
      <c r="E149" s="13" t="s">
        <v>77</v>
      </c>
      <c r="F149" s="31" t="s">
        <v>552</v>
      </c>
    </row>
    <row r="150" spans="5:6">
      <c r="E150" s="13" t="s">
        <v>78</v>
      </c>
      <c r="F150" s="31" t="s">
        <v>553</v>
      </c>
    </row>
    <row r="151" spans="5:6">
      <c r="E151" s="13" t="s">
        <v>79</v>
      </c>
      <c r="F151" s="31" t="s">
        <v>554</v>
      </c>
    </row>
    <row r="152" spans="5:6">
      <c r="E152" s="13" t="s">
        <v>80</v>
      </c>
      <c r="F152" s="31" t="s">
        <v>555</v>
      </c>
    </row>
    <row r="153" spans="5:6">
      <c r="E153" s="13" t="s">
        <v>81</v>
      </c>
      <c r="F153" s="31" t="s">
        <v>556</v>
      </c>
    </row>
    <row r="154" spans="5:6">
      <c r="E154" s="13" t="s">
        <v>83</v>
      </c>
      <c r="F154" s="31"/>
    </row>
    <row r="155" spans="5:6">
      <c r="E155" s="13" t="s">
        <v>84</v>
      </c>
    </row>
    <row r="156" spans="5:6">
      <c r="E156" s="13" t="s">
        <v>85</v>
      </c>
    </row>
    <row r="157" spans="5:6">
      <c r="E157" s="13" t="s">
        <v>86</v>
      </c>
    </row>
    <row r="158" spans="5:6">
      <c r="E158" s="13" t="s">
        <v>87</v>
      </c>
    </row>
    <row r="159" spans="5:6">
      <c r="E159" s="13" t="s">
        <v>88</v>
      </c>
    </row>
    <row r="160" spans="5:6">
      <c r="E160" s="13" t="s">
        <v>89</v>
      </c>
    </row>
    <row r="161" spans="5:5">
      <c r="E161" s="13" t="s">
        <v>90</v>
      </c>
    </row>
    <row r="162" spans="5:5">
      <c r="E162" s="13" t="s">
        <v>91</v>
      </c>
    </row>
    <row r="163" spans="5:5">
      <c r="E163" s="13" t="s">
        <v>92</v>
      </c>
    </row>
    <row r="164" spans="5:5">
      <c r="E164" s="13" t="s">
        <v>93</v>
      </c>
    </row>
    <row r="165" spans="5:5">
      <c r="E165" s="13" t="s">
        <v>94</v>
      </c>
    </row>
    <row r="166" spans="5:5">
      <c r="E166" s="13" t="s">
        <v>95</v>
      </c>
    </row>
    <row r="167" spans="5:5">
      <c r="E167" s="13" t="s">
        <v>96</v>
      </c>
    </row>
    <row r="168" spans="5:5">
      <c r="E168" s="13" t="s">
        <v>97</v>
      </c>
    </row>
    <row r="169" spans="5:5">
      <c r="E169" s="13" t="s">
        <v>100</v>
      </c>
    </row>
    <row r="170" spans="5:5">
      <c r="E170" s="13" t="s">
        <v>98</v>
      </c>
    </row>
    <row r="171" spans="5:5">
      <c r="E171" s="13" t="s">
        <v>99</v>
      </c>
    </row>
    <row r="172" spans="5:5">
      <c r="E172" s="13" t="s">
        <v>101</v>
      </c>
    </row>
    <row r="173" spans="5:5">
      <c r="E173" s="13" t="s">
        <v>102</v>
      </c>
    </row>
    <row r="174" spans="5:5">
      <c r="E174" s="13" t="s">
        <v>103</v>
      </c>
    </row>
    <row r="175" spans="5:5">
      <c r="E175" s="13" t="s">
        <v>104</v>
      </c>
    </row>
    <row r="176" spans="5:5">
      <c r="E176" s="13" t="s">
        <v>105</v>
      </c>
    </row>
    <row r="177" spans="5:5">
      <c r="E177" s="13" t="s">
        <v>106</v>
      </c>
    </row>
    <row r="178" spans="5:5">
      <c r="E178" s="13" t="s">
        <v>107</v>
      </c>
    </row>
    <row r="179" spans="5:5">
      <c r="E179" s="13" t="s">
        <v>193</v>
      </c>
    </row>
    <row r="180" spans="5:5">
      <c r="E180" s="13" t="s">
        <v>108</v>
      </c>
    </row>
    <row r="181" spans="5:5">
      <c r="E181" s="13" t="s">
        <v>109</v>
      </c>
    </row>
    <row r="182" spans="5:5">
      <c r="E182" s="13" t="s">
        <v>110</v>
      </c>
    </row>
    <row r="183" spans="5:5">
      <c r="E183" s="13" t="s">
        <v>111</v>
      </c>
    </row>
    <row r="184" spans="5:5">
      <c r="E184" s="13" t="s">
        <v>112</v>
      </c>
    </row>
    <row r="185" spans="5:5">
      <c r="E185" s="13" t="s">
        <v>113</v>
      </c>
    </row>
    <row r="186" spans="5:5">
      <c r="E186" s="13" t="s">
        <v>114</v>
      </c>
    </row>
    <row r="187" spans="5:5">
      <c r="E187" s="13" t="s">
        <v>115</v>
      </c>
    </row>
    <row r="188" spans="5:5">
      <c r="E188" s="13" t="s">
        <v>194</v>
      </c>
    </row>
    <row r="189" spans="5:5">
      <c r="E189" s="13" t="s">
        <v>116</v>
      </c>
    </row>
    <row r="190" spans="5:5">
      <c r="E190" s="13" t="s">
        <v>117</v>
      </c>
    </row>
    <row r="191" spans="5:5">
      <c r="E191" s="13" t="s">
        <v>118</v>
      </c>
    </row>
    <row r="192" spans="5:5">
      <c r="E192" s="13" t="s">
        <v>141</v>
      </c>
    </row>
    <row r="193" spans="5:5">
      <c r="E193" s="13" t="s">
        <v>119</v>
      </c>
    </row>
    <row r="194" spans="5:5">
      <c r="E194" s="13" t="s">
        <v>120</v>
      </c>
    </row>
    <row r="195" spans="5:5">
      <c r="E195" s="13" t="s">
        <v>121</v>
      </c>
    </row>
    <row r="196" spans="5:5">
      <c r="E196" s="13" t="s">
        <v>122</v>
      </c>
    </row>
    <row r="197" spans="5:5">
      <c r="E197" s="13" t="s">
        <v>123</v>
      </c>
    </row>
    <row r="198" spans="5:5">
      <c r="E198" s="13" t="s">
        <v>124</v>
      </c>
    </row>
    <row r="199" spans="5:5">
      <c r="E199" s="13" t="s">
        <v>125</v>
      </c>
    </row>
    <row r="200" spans="5:5">
      <c r="E200" s="13" t="s">
        <v>126</v>
      </c>
    </row>
    <row r="201" spans="5:5">
      <c r="E201" s="13" t="s">
        <v>127</v>
      </c>
    </row>
    <row r="202" spans="5:5">
      <c r="E202" s="13" t="s">
        <v>128</v>
      </c>
    </row>
    <row r="203" spans="5:5">
      <c r="E203" s="13" t="s">
        <v>129</v>
      </c>
    </row>
    <row r="204" spans="5:5">
      <c r="E204" s="13" t="s">
        <v>130</v>
      </c>
    </row>
    <row r="205" spans="5:5">
      <c r="E205" s="13" t="s">
        <v>131</v>
      </c>
    </row>
    <row r="206" spans="5:5">
      <c r="E206" s="13" t="s">
        <v>132</v>
      </c>
    </row>
    <row r="207" spans="5:5">
      <c r="E207" s="13" t="s">
        <v>133</v>
      </c>
    </row>
    <row r="208" spans="5:5">
      <c r="E208" s="13" t="s">
        <v>134</v>
      </c>
    </row>
    <row r="209" spans="5:5">
      <c r="E209" s="13" t="s">
        <v>136</v>
      </c>
    </row>
    <row r="210" spans="5:5">
      <c r="E210" s="13" t="s">
        <v>137</v>
      </c>
    </row>
    <row r="211" spans="5:5">
      <c r="E211" s="13" t="s">
        <v>138</v>
      </c>
    </row>
    <row r="212" spans="5:5">
      <c r="E212" s="13" t="s">
        <v>139</v>
      </c>
    </row>
    <row r="213" spans="5:5">
      <c r="E213" s="13" t="s">
        <v>140</v>
      </c>
    </row>
    <row r="214" spans="5:5">
      <c r="E214" s="13" t="s">
        <v>142</v>
      </c>
    </row>
    <row r="215" spans="5:5">
      <c r="E215" s="13" t="s">
        <v>143</v>
      </c>
    </row>
    <row r="216" spans="5:5">
      <c r="E216" s="13" t="s">
        <v>144</v>
      </c>
    </row>
    <row r="217" spans="5:5">
      <c r="E217" s="13" t="s">
        <v>145</v>
      </c>
    </row>
    <row r="218" spans="5:5">
      <c r="E218" s="13" t="s">
        <v>146</v>
      </c>
    </row>
    <row r="219" spans="5:5">
      <c r="E219" s="13" t="s">
        <v>147</v>
      </c>
    </row>
    <row r="220" spans="5:5">
      <c r="E220" s="13" t="s">
        <v>148</v>
      </c>
    </row>
    <row r="221" spans="5:5">
      <c r="E221" s="13" t="s">
        <v>195</v>
      </c>
    </row>
    <row r="222" spans="5:5">
      <c r="E222" s="13" t="s">
        <v>150</v>
      </c>
    </row>
    <row r="223" spans="5:5">
      <c r="E223" s="13" t="s">
        <v>151</v>
      </c>
    </row>
    <row r="224" spans="5:5">
      <c r="E224" s="13" t="s">
        <v>152</v>
      </c>
    </row>
    <row r="225" spans="5:5">
      <c r="E225" s="13" t="s">
        <v>153</v>
      </c>
    </row>
    <row r="226" spans="5:5">
      <c r="E226" s="13" t="s">
        <v>154</v>
      </c>
    </row>
    <row r="227" spans="5:5">
      <c r="E227" s="13" t="s">
        <v>155</v>
      </c>
    </row>
    <row r="228" spans="5:5">
      <c r="E228" s="13" t="s">
        <v>156</v>
      </c>
    </row>
    <row r="229" spans="5:5">
      <c r="E229" s="13" t="s">
        <v>157</v>
      </c>
    </row>
    <row r="230" spans="5:5">
      <c r="E230" s="13" t="s">
        <v>167</v>
      </c>
    </row>
    <row r="231" spans="5:5">
      <c r="E231" s="13" t="s">
        <v>158</v>
      </c>
    </row>
    <row r="232" spans="5:5">
      <c r="E232" s="13" t="s">
        <v>159</v>
      </c>
    </row>
    <row r="233" spans="5:5">
      <c r="E233" s="13" t="s">
        <v>160</v>
      </c>
    </row>
    <row r="234" spans="5:5">
      <c r="E234" s="13" t="s">
        <v>161</v>
      </c>
    </row>
    <row r="235" spans="5:5">
      <c r="E235" s="13" t="s">
        <v>162</v>
      </c>
    </row>
    <row r="236" spans="5:5">
      <c r="E236" s="13" t="s">
        <v>163</v>
      </c>
    </row>
    <row r="237" spans="5:5">
      <c r="E237" s="13" t="s">
        <v>164</v>
      </c>
    </row>
    <row r="238" spans="5:5">
      <c r="E238" s="13" t="s">
        <v>165</v>
      </c>
    </row>
    <row r="239" spans="5:5">
      <c r="E239" s="13" t="s">
        <v>166</v>
      </c>
    </row>
    <row r="240" spans="5:5">
      <c r="E240" s="13" t="s">
        <v>168</v>
      </c>
    </row>
    <row r="241" spans="5:5">
      <c r="E241" s="13" t="s">
        <v>169</v>
      </c>
    </row>
    <row r="242" spans="5:5">
      <c r="E242" s="13" t="s">
        <v>170</v>
      </c>
    </row>
    <row r="243" spans="5:5">
      <c r="E243" s="13" t="s">
        <v>171</v>
      </c>
    </row>
    <row r="244" spans="5:5">
      <c r="E244" s="13" t="s">
        <v>172</v>
      </c>
    </row>
    <row r="245" spans="5:5">
      <c r="E245" s="13" t="s">
        <v>173</v>
      </c>
    </row>
    <row r="246" spans="5:5">
      <c r="E246" s="13" t="s">
        <v>174</v>
      </c>
    </row>
    <row r="247" spans="5:5">
      <c r="E247" s="13" t="s">
        <v>175</v>
      </c>
    </row>
    <row r="248" spans="5:5">
      <c r="E248" s="13" t="s">
        <v>176</v>
      </c>
    </row>
    <row r="249" spans="5:5">
      <c r="E249" s="13" t="s">
        <v>178</v>
      </c>
    </row>
    <row r="250" spans="5:5">
      <c r="E250" s="13" t="s">
        <v>177</v>
      </c>
    </row>
  </sheetData>
  <conditionalFormatting sqref="N40:P50">
    <cfRule type="containsErrors" dxfId="0" priority="1">
      <formula>ISERROR(N40)</formula>
    </cfRule>
  </conditionalFormatting>
  <dataValidations count="11">
    <dataValidation type="list" allowBlank="1" showInputMessage="1" showErrorMessage="1" sqref="V40:V50">
      <formula1>$O$101:$O$104</formula1>
    </dataValidation>
    <dataValidation type="list" allowBlank="1" showInputMessage="1" showErrorMessage="1" sqref="M40:M49">
      <formula1>$F$101:$F$153</formula1>
    </dataValidation>
    <dataValidation type="list" allowBlank="1" showInputMessage="1" showErrorMessage="1" sqref="G36">
      <formula1>$I$101:$I$102</formula1>
    </dataValidation>
    <dataValidation type="list" allowBlank="1" showInputMessage="1" showErrorMessage="1" sqref="G35">
      <formula1>$H$101:$H$102</formula1>
    </dataValidation>
    <dataValidation type="list" allowBlank="1" showInputMessage="1" showErrorMessage="1" sqref="G34">
      <formula1>$G$101:$G$102</formula1>
    </dataValidation>
    <dataValidation type="list" allowBlank="1" showInputMessage="1" showErrorMessage="1" sqref="E10">
      <formula1>$E$101:$E$250</formula1>
    </dataValidation>
    <dataValidation type="list" allowBlank="1" showInputMessage="1" showErrorMessage="1" sqref="E9">
      <formula1>$C$101:$C$120</formula1>
    </dataValidation>
    <dataValidation type="list" allowBlank="1" showInputMessage="1" showErrorMessage="1" sqref="K40:K50">
      <formula1>$M$101:$M$104</formula1>
    </dataValidation>
    <dataValidation type="list" allowBlank="1" showInputMessage="1" showErrorMessage="1" sqref="J40:J50">
      <formula1>$L$101:$L$102</formula1>
    </dataValidation>
    <dataValidation type="list" allowBlank="1" showInputMessage="1" showErrorMessage="1" sqref="I40:I50">
      <formula1>$K$101:$K$120</formula1>
    </dataValidation>
    <dataValidation type="list" allowBlank="1" showInputMessage="1" showErrorMessage="1" sqref="Q40:R50 G42:G50 H40:H50">
      <formula1>$J$101:$J$103</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285"/>
  <sheetViews>
    <sheetView zoomScale="90" zoomScaleNormal="90" workbookViewId="0">
      <selection activeCell="C2" sqref="C2"/>
    </sheetView>
  </sheetViews>
  <sheetFormatPr defaultRowHeight="14.25"/>
  <cols>
    <col min="1" max="1" width="2.85546875" style="13" customWidth="1"/>
    <col min="2" max="2" width="3.42578125" style="13" customWidth="1"/>
    <col min="3" max="3" width="33.140625" style="13" customWidth="1"/>
    <col min="4" max="4" width="19.7109375" style="13" customWidth="1"/>
    <col min="5" max="5" width="18.42578125" style="13" customWidth="1"/>
    <col min="6" max="12" width="14" style="13" customWidth="1"/>
    <col min="13" max="16384" width="9.140625" style="13"/>
  </cols>
  <sheetData>
    <row r="2" spans="3:12" ht="23.25">
      <c r="C2" s="133" t="s">
        <v>363</v>
      </c>
    </row>
    <row r="4" spans="3:12" ht="18">
      <c r="C4" s="188" t="s">
        <v>282</v>
      </c>
    </row>
    <row r="5" spans="3:12">
      <c r="C5" s="40" t="s">
        <v>26</v>
      </c>
    </row>
    <row r="6" spans="3:12" s="42" customFormat="1" ht="15">
      <c r="C6" s="242" t="s">
        <v>253</v>
      </c>
      <c r="D6" s="242" t="s">
        <v>274</v>
      </c>
      <c r="E6" s="242" t="s">
        <v>275</v>
      </c>
      <c r="F6" s="242" t="s">
        <v>276</v>
      </c>
      <c r="G6" s="242" t="s">
        <v>5</v>
      </c>
      <c r="H6" s="242" t="s">
        <v>277</v>
      </c>
      <c r="I6" s="242" t="s">
        <v>278</v>
      </c>
      <c r="J6" s="242" t="s">
        <v>279</v>
      </c>
      <c r="K6" s="242" t="s">
        <v>280</v>
      </c>
      <c r="L6" s="242" t="s">
        <v>281</v>
      </c>
    </row>
    <row r="7" spans="3:12">
      <c r="C7" s="13" t="s">
        <v>255</v>
      </c>
      <c r="D7" s="13">
        <v>26.2</v>
      </c>
      <c r="E7" s="13">
        <v>18.8</v>
      </c>
      <c r="F7" s="13">
        <v>3.5</v>
      </c>
      <c r="G7" s="13">
        <v>3.5</v>
      </c>
      <c r="H7" s="13">
        <v>1</v>
      </c>
      <c r="I7" s="13">
        <v>14.3</v>
      </c>
      <c r="J7" s="13">
        <v>2.7</v>
      </c>
      <c r="K7" s="13">
        <v>3.1</v>
      </c>
      <c r="L7" s="13">
        <v>7.4</v>
      </c>
    </row>
    <row r="8" spans="3:12">
      <c r="C8" s="13" t="s">
        <v>256</v>
      </c>
      <c r="D8" s="13">
        <v>40.299999999999997</v>
      </c>
      <c r="E8" s="13">
        <v>11.3</v>
      </c>
      <c r="F8" s="13">
        <v>7.9</v>
      </c>
      <c r="G8" s="13">
        <v>2.5</v>
      </c>
      <c r="H8" s="13">
        <v>0.8</v>
      </c>
      <c r="I8" s="13">
        <v>6.4</v>
      </c>
      <c r="J8" s="13">
        <v>3.8</v>
      </c>
      <c r="K8" s="13">
        <v>3.5</v>
      </c>
      <c r="L8" s="13">
        <v>21.9</v>
      </c>
    </row>
    <row r="9" spans="3:12">
      <c r="C9" s="13" t="s">
        <v>257</v>
      </c>
      <c r="D9" s="13">
        <v>43.5</v>
      </c>
      <c r="E9" s="13">
        <v>12.9</v>
      </c>
      <c r="F9" s="13">
        <v>9.9</v>
      </c>
      <c r="G9" s="13">
        <v>2.7</v>
      </c>
      <c r="H9" s="13">
        <v>0.9</v>
      </c>
      <c r="I9" s="13">
        <v>7.2</v>
      </c>
      <c r="J9" s="13">
        <v>3.3</v>
      </c>
      <c r="K9" s="13">
        <v>4</v>
      </c>
      <c r="L9" s="13">
        <v>16.3</v>
      </c>
    </row>
    <row r="10" spans="3:12">
      <c r="C10" s="13" t="s">
        <v>258</v>
      </c>
      <c r="D10" s="13">
        <v>41.1</v>
      </c>
      <c r="E10" s="13">
        <v>18</v>
      </c>
      <c r="F10" s="13">
        <v>9.8000000000000007</v>
      </c>
      <c r="G10" s="13">
        <v>2.9</v>
      </c>
      <c r="H10" s="13">
        <v>0.6</v>
      </c>
      <c r="I10" s="13">
        <v>6.3</v>
      </c>
      <c r="J10" s="13">
        <v>1.3</v>
      </c>
      <c r="K10" s="13">
        <v>2.2000000000000002</v>
      </c>
      <c r="L10" s="13">
        <v>5.4</v>
      </c>
    </row>
    <row r="11" spans="3:12">
      <c r="C11" s="13" t="s">
        <v>259</v>
      </c>
      <c r="D11" s="13">
        <v>53.9</v>
      </c>
      <c r="E11" s="13">
        <v>7.7</v>
      </c>
      <c r="F11" s="13">
        <v>7</v>
      </c>
      <c r="G11" s="13">
        <v>1.7</v>
      </c>
      <c r="H11" s="13">
        <v>1.1000000000000001</v>
      </c>
      <c r="I11" s="13">
        <v>5.5</v>
      </c>
      <c r="J11" s="13">
        <v>1.8</v>
      </c>
      <c r="K11" s="13">
        <v>2.2999999999999998</v>
      </c>
      <c r="L11" s="13">
        <v>11.6</v>
      </c>
    </row>
    <row r="12" spans="3:12">
      <c r="C12" s="13" t="s">
        <v>260</v>
      </c>
      <c r="D12" s="13">
        <v>43.4</v>
      </c>
      <c r="E12" s="13">
        <v>16.8</v>
      </c>
      <c r="F12" s="13">
        <v>6.5</v>
      </c>
      <c r="G12" s="13">
        <v>2.5</v>
      </c>
      <c r="I12" s="13">
        <v>4.5</v>
      </c>
      <c r="J12" s="13">
        <v>3.5</v>
      </c>
      <c r="K12" s="13">
        <v>2</v>
      </c>
      <c r="L12" s="13">
        <v>1.5</v>
      </c>
    </row>
    <row r="13" spans="3:12">
      <c r="C13" s="13" t="s">
        <v>261</v>
      </c>
      <c r="D13" s="13">
        <v>51.1</v>
      </c>
      <c r="E13" s="13">
        <v>16.5</v>
      </c>
      <c r="F13" s="13">
        <v>2</v>
      </c>
      <c r="G13" s="13">
        <v>2.5</v>
      </c>
      <c r="I13" s="13">
        <v>4.5</v>
      </c>
      <c r="J13" s="13">
        <v>3.5</v>
      </c>
      <c r="K13" s="13">
        <v>2</v>
      </c>
      <c r="L13" s="13">
        <v>1.5</v>
      </c>
    </row>
    <row r="14" spans="3:12">
      <c r="C14" s="13" t="s">
        <v>262</v>
      </c>
      <c r="D14" s="13">
        <v>23</v>
      </c>
      <c r="E14" s="13">
        <v>25</v>
      </c>
      <c r="F14" s="13">
        <v>15</v>
      </c>
    </row>
    <row r="15" spans="3:12">
      <c r="C15" s="13" t="s">
        <v>263</v>
      </c>
      <c r="D15" s="13">
        <v>40.4</v>
      </c>
      <c r="E15" s="13">
        <v>9.8000000000000007</v>
      </c>
      <c r="F15" s="13">
        <v>4.4000000000000004</v>
      </c>
      <c r="G15" s="13">
        <v>1</v>
      </c>
      <c r="I15" s="13">
        <v>3</v>
      </c>
      <c r="J15" s="13">
        <v>1</v>
      </c>
    </row>
    <row r="16" spans="3:12">
      <c r="C16" s="13" t="s">
        <v>264</v>
      </c>
      <c r="D16" s="13">
        <v>30.1</v>
      </c>
      <c r="E16" s="13">
        <v>21.8</v>
      </c>
      <c r="F16" s="13">
        <v>7.5</v>
      </c>
      <c r="G16" s="13">
        <v>4.7</v>
      </c>
      <c r="H16" s="13">
        <v>1.4</v>
      </c>
      <c r="I16" s="13">
        <v>6.2</v>
      </c>
      <c r="J16" s="13">
        <v>3.6</v>
      </c>
      <c r="K16" s="13">
        <v>10</v>
      </c>
      <c r="L16" s="13">
        <v>14.6</v>
      </c>
    </row>
    <row r="17" spans="3:12">
      <c r="C17" s="13" t="s">
        <v>265</v>
      </c>
      <c r="D17" s="13">
        <v>23.8</v>
      </c>
      <c r="E17" s="13">
        <v>30.6</v>
      </c>
      <c r="F17" s="13">
        <v>10</v>
      </c>
      <c r="G17" s="13">
        <v>2</v>
      </c>
      <c r="I17" s="13">
        <v>13</v>
      </c>
      <c r="J17" s="13">
        <v>7</v>
      </c>
      <c r="K17" s="13">
        <v>8</v>
      </c>
    </row>
    <row r="18" spans="3:12">
      <c r="C18" s="13" t="s">
        <v>266</v>
      </c>
      <c r="D18" s="13">
        <v>36.9</v>
      </c>
      <c r="E18" s="13">
        <v>17</v>
      </c>
      <c r="F18" s="13">
        <v>10.6</v>
      </c>
    </row>
    <row r="19" spans="3:12">
      <c r="C19" s="13" t="s">
        <v>267</v>
      </c>
      <c r="D19" s="13">
        <v>24.2</v>
      </c>
      <c r="E19" s="13">
        <v>27.5</v>
      </c>
      <c r="F19" s="13">
        <v>11</v>
      </c>
    </row>
    <row r="20" spans="3:12">
      <c r="C20" s="13" t="s">
        <v>268</v>
      </c>
      <c r="D20" s="13">
        <v>36</v>
      </c>
      <c r="E20" s="13">
        <v>30</v>
      </c>
      <c r="F20" s="13">
        <v>24</v>
      </c>
    </row>
    <row r="21" spans="3:12">
      <c r="C21" s="13" t="s">
        <v>269</v>
      </c>
      <c r="D21" s="13">
        <v>67.5</v>
      </c>
      <c r="E21" s="13">
        <v>6</v>
      </c>
      <c r="F21" s="13">
        <v>2.5</v>
      </c>
    </row>
    <row r="22" spans="3:12">
      <c r="C22" s="13" t="s">
        <v>270</v>
      </c>
      <c r="D22" s="13">
        <v>33.9</v>
      </c>
      <c r="E22" s="13">
        <v>23.2</v>
      </c>
      <c r="F22" s="13">
        <v>6.2</v>
      </c>
      <c r="G22" s="13">
        <v>3.9</v>
      </c>
      <c r="H22" s="13">
        <v>1.4</v>
      </c>
      <c r="I22" s="13">
        <v>8.5</v>
      </c>
      <c r="J22" s="13">
        <v>4.5999999999999996</v>
      </c>
      <c r="K22" s="13">
        <v>6.5</v>
      </c>
      <c r="L22" s="13">
        <v>9.8000000000000007</v>
      </c>
    </row>
    <row r="23" spans="3:12">
      <c r="C23" s="13" t="s">
        <v>271</v>
      </c>
      <c r="D23" s="13">
        <v>43.8</v>
      </c>
      <c r="E23" s="13">
        <v>13.7</v>
      </c>
      <c r="F23" s="13">
        <v>13.5</v>
      </c>
      <c r="G23" s="13">
        <v>2.6</v>
      </c>
      <c r="H23" s="13">
        <v>1.8</v>
      </c>
      <c r="I23" s="13">
        <v>6.7</v>
      </c>
      <c r="J23" s="13">
        <v>2.6</v>
      </c>
      <c r="K23" s="13">
        <v>3.7</v>
      </c>
      <c r="L23" s="13">
        <v>12.3</v>
      </c>
    </row>
    <row r="24" spans="3:12">
      <c r="C24" s="13" t="s">
        <v>272</v>
      </c>
      <c r="D24" s="13">
        <v>44.9</v>
      </c>
      <c r="E24" s="13">
        <v>17.100000000000001</v>
      </c>
      <c r="F24" s="13">
        <v>4.7</v>
      </c>
      <c r="G24" s="13">
        <v>2.6</v>
      </c>
      <c r="H24" s="13">
        <v>0.7</v>
      </c>
      <c r="I24" s="13">
        <v>10.8</v>
      </c>
      <c r="J24" s="13">
        <v>2.9</v>
      </c>
      <c r="K24" s="13">
        <v>3.3</v>
      </c>
      <c r="L24" s="13">
        <v>13</v>
      </c>
    </row>
    <row r="25" spans="3:12">
      <c r="C25" s="13" t="s">
        <v>273</v>
      </c>
      <c r="D25" s="13">
        <v>46.9</v>
      </c>
      <c r="E25" s="13">
        <v>17</v>
      </c>
      <c r="F25" s="13">
        <v>2.4</v>
      </c>
      <c r="G25" s="13">
        <v>5.0999999999999996</v>
      </c>
      <c r="H25" s="13">
        <v>1.9</v>
      </c>
      <c r="I25" s="13">
        <v>9.9</v>
      </c>
      <c r="J25" s="13">
        <v>5</v>
      </c>
      <c r="K25" s="13">
        <v>5.7</v>
      </c>
      <c r="L25" s="13">
        <v>3.5</v>
      </c>
    </row>
    <row r="26" spans="3:12">
      <c r="C26" s="35" t="s">
        <v>284</v>
      </c>
      <c r="D26" s="35"/>
      <c r="E26" s="35"/>
      <c r="F26" s="35"/>
      <c r="G26" s="35"/>
      <c r="H26" s="35"/>
      <c r="I26" s="35"/>
      <c r="J26" s="35"/>
      <c r="K26" s="35"/>
      <c r="L26" s="35"/>
    </row>
    <row r="28" spans="3:12" ht="18">
      <c r="C28" s="188" t="s">
        <v>307</v>
      </c>
    </row>
    <row r="29" spans="3:12">
      <c r="C29" s="40" t="s">
        <v>26</v>
      </c>
    </row>
    <row r="30" spans="3:12" ht="15">
      <c r="C30" s="234" t="s">
        <v>310</v>
      </c>
      <c r="D30" s="234" t="s">
        <v>307</v>
      </c>
    </row>
    <row r="31" spans="3:12">
      <c r="C31" s="31" t="s">
        <v>308</v>
      </c>
      <c r="D31" s="284">
        <v>0</v>
      </c>
    </row>
    <row r="32" spans="3:12">
      <c r="C32" s="35" t="s">
        <v>309</v>
      </c>
      <c r="D32" s="285">
        <v>0.1</v>
      </c>
    </row>
    <row r="34" spans="3:10" ht="18">
      <c r="C34" s="188" t="s">
        <v>311</v>
      </c>
    </row>
    <row r="35" spans="3:10">
      <c r="C35" s="40" t="s">
        <v>26</v>
      </c>
    </row>
    <row r="36" spans="3:10" ht="15">
      <c r="C36" s="234" t="s">
        <v>310</v>
      </c>
      <c r="D36" s="234" t="s">
        <v>307</v>
      </c>
      <c r="E36" s="234" t="s">
        <v>316</v>
      </c>
    </row>
    <row r="37" spans="3:10">
      <c r="C37" s="31" t="s">
        <v>312</v>
      </c>
      <c r="D37" s="214">
        <v>1</v>
      </c>
      <c r="E37" s="13" t="s">
        <v>317</v>
      </c>
    </row>
    <row r="38" spans="3:10">
      <c r="C38" s="31" t="s">
        <v>313</v>
      </c>
      <c r="D38" s="214">
        <v>0.5</v>
      </c>
      <c r="E38" s="13" t="s">
        <v>318</v>
      </c>
    </row>
    <row r="39" spans="3:10">
      <c r="C39" s="31" t="s">
        <v>315</v>
      </c>
      <c r="D39" s="214">
        <v>0.8</v>
      </c>
      <c r="E39" s="13" t="s">
        <v>319</v>
      </c>
    </row>
    <row r="40" spans="3:10">
      <c r="C40" s="35" t="s">
        <v>314</v>
      </c>
      <c r="D40" s="285">
        <v>0.4</v>
      </c>
      <c r="E40" s="35" t="s">
        <v>320</v>
      </c>
    </row>
    <row r="41" spans="3:10">
      <c r="C41" s="31"/>
      <c r="D41" s="31"/>
    </row>
    <row r="42" spans="3:10" ht="18">
      <c r="C42" s="198" t="s">
        <v>321</v>
      </c>
    </row>
    <row r="43" spans="3:10">
      <c r="C43" s="40" t="s">
        <v>26</v>
      </c>
    </row>
    <row r="44" spans="3:10" ht="15">
      <c r="C44" s="234" t="s">
        <v>285</v>
      </c>
      <c r="D44" s="234" t="s">
        <v>322</v>
      </c>
      <c r="E44" s="234" t="s">
        <v>323</v>
      </c>
    </row>
    <row r="45" spans="3:10">
      <c r="C45" s="13" t="s">
        <v>274</v>
      </c>
      <c r="D45" s="401">
        <v>0.15</v>
      </c>
      <c r="E45" s="401">
        <v>0.38</v>
      </c>
      <c r="G45" s="402"/>
      <c r="H45" s="402"/>
      <c r="I45" s="31"/>
      <c r="J45" s="31"/>
    </row>
    <row r="46" spans="3:10">
      <c r="C46" s="13" t="s">
        <v>275</v>
      </c>
      <c r="D46" s="401">
        <v>0.4</v>
      </c>
      <c r="E46" s="401">
        <v>0.44</v>
      </c>
      <c r="G46" s="402"/>
      <c r="H46" s="402"/>
      <c r="I46" s="31"/>
      <c r="J46" s="31"/>
    </row>
    <row r="47" spans="3:10">
      <c r="C47" s="13" t="s">
        <v>276</v>
      </c>
      <c r="D47" s="401">
        <v>0.43</v>
      </c>
      <c r="E47" s="401">
        <v>0.5</v>
      </c>
      <c r="G47" s="402"/>
      <c r="H47" s="402"/>
      <c r="I47" s="31"/>
      <c r="J47" s="31"/>
    </row>
    <row r="48" spans="3:10">
      <c r="C48" s="13" t="s">
        <v>5</v>
      </c>
      <c r="D48" s="401">
        <v>0.24</v>
      </c>
      <c r="E48" s="401">
        <v>0.3</v>
      </c>
      <c r="G48" s="402"/>
      <c r="H48" s="402"/>
      <c r="I48" s="31"/>
      <c r="J48" s="31"/>
    </row>
    <row r="49" spans="3:10">
      <c r="C49" s="13" t="s">
        <v>277</v>
      </c>
      <c r="D49" s="401">
        <v>0</v>
      </c>
      <c r="E49" s="401">
        <v>0</v>
      </c>
      <c r="G49" s="402"/>
      <c r="H49" s="402"/>
      <c r="I49" s="31"/>
      <c r="J49" s="31"/>
    </row>
    <row r="50" spans="3:10">
      <c r="C50" s="13" t="s">
        <v>278</v>
      </c>
      <c r="D50" s="401">
        <v>0</v>
      </c>
      <c r="E50" s="401">
        <v>0</v>
      </c>
      <c r="G50" s="402"/>
      <c r="H50" s="402"/>
      <c r="I50" s="31"/>
      <c r="J50" s="31"/>
    </row>
    <row r="51" spans="3:10">
      <c r="C51" s="13" t="s">
        <v>279</v>
      </c>
      <c r="D51" s="401">
        <v>0</v>
      </c>
      <c r="E51" s="401">
        <v>0</v>
      </c>
      <c r="G51" s="402"/>
      <c r="H51" s="402"/>
      <c r="I51" s="31"/>
      <c r="J51" s="31"/>
    </row>
    <row r="52" spans="3:10">
      <c r="C52" s="35" t="s">
        <v>280</v>
      </c>
      <c r="D52" s="403">
        <v>0</v>
      </c>
      <c r="E52" s="403">
        <v>0</v>
      </c>
      <c r="G52" s="402"/>
      <c r="H52" s="402"/>
      <c r="I52" s="31"/>
      <c r="J52" s="31"/>
    </row>
    <row r="53" spans="3:10">
      <c r="G53" s="31"/>
      <c r="H53" s="31"/>
      <c r="I53" s="31"/>
      <c r="J53" s="31"/>
    </row>
    <row r="54" spans="3:10" ht="18">
      <c r="C54" s="198" t="s">
        <v>324</v>
      </c>
      <c r="G54" s="31"/>
      <c r="H54" s="31"/>
      <c r="I54" s="31"/>
      <c r="J54" s="31"/>
    </row>
    <row r="55" spans="3:10">
      <c r="C55" s="40" t="s">
        <v>26</v>
      </c>
    </row>
    <row r="56" spans="3:10" ht="15">
      <c r="C56" s="234" t="s">
        <v>285</v>
      </c>
      <c r="D56" s="242" t="s">
        <v>350</v>
      </c>
      <c r="E56" s="242" t="s">
        <v>351</v>
      </c>
      <c r="F56" s="242" t="s">
        <v>352</v>
      </c>
      <c r="G56" s="242" t="s">
        <v>353</v>
      </c>
    </row>
    <row r="57" spans="3:10">
      <c r="C57" s="13" t="s">
        <v>274</v>
      </c>
      <c r="D57" s="13">
        <v>0.06</v>
      </c>
      <c r="E57" s="13">
        <v>0.185</v>
      </c>
      <c r="F57" s="13">
        <v>8.5000000000000006E-2</v>
      </c>
      <c r="G57" s="13">
        <v>0.4</v>
      </c>
    </row>
    <row r="58" spans="3:10">
      <c r="C58" s="13" t="s">
        <v>275</v>
      </c>
      <c r="D58" s="13">
        <v>0.04</v>
      </c>
      <c r="E58" s="13">
        <v>0.06</v>
      </c>
      <c r="F58" s="13">
        <v>4.4999999999999998E-2</v>
      </c>
      <c r="G58" s="13">
        <v>7.0000000000000007E-2</v>
      </c>
    </row>
    <row r="59" spans="3:10">
      <c r="C59" s="13" t="s">
        <v>276</v>
      </c>
      <c r="D59" s="13">
        <v>0.02</v>
      </c>
      <c r="E59" s="13">
        <v>0.03</v>
      </c>
      <c r="F59" s="13">
        <v>2.5000000000000001E-2</v>
      </c>
      <c r="G59" s="13">
        <v>3.5000000000000003E-2</v>
      </c>
    </row>
    <row r="60" spans="3:10">
      <c r="C60" s="13" t="s">
        <v>5</v>
      </c>
      <c r="D60" s="13">
        <v>0.04</v>
      </c>
      <c r="E60" s="13">
        <v>0.06</v>
      </c>
      <c r="F60" s="13">
        <v>4.4999999999999998E-2</v>
      </c>
      <c r="G60" s="13">
        <v>7.0000000000000007E-2</v>
      </c>
    </row>
    <row r="61" spans="3:10">
      <c r="C61" s="13" t="s">
        <v>277</v>
      </c>
      <c r="D61" s="13">
        <v>0</v>
      </c>
      <c r="E61" s="13">
        <v>0</v>
      </c>
      <c r="F61" s="13">
        <v>0</v>
      </c>
      <c r="G61" s="13">
        <v>0</v>
      </c>
    </row>
    <row r="62" spans="3:10">
      <c r="C62" s="13" t="s">
        <v>278</v>
      </c>
      <c r="D62" s="13">
        <v>0</v>
      </c>
      <c r="E62" s="13">
        <v>0</v>
      </c>
      <c r="F62" s="13">
        <v>0</v>
      </c>
      <c r="G62" s="13">
        <v>0</v>
      </c>
    </row>
    <row r="63" spans="3:10">
      <c r="C63" s="13" t="s">
        <v>279</v>
      </c>
      <c r="D63" s="13">
        <v>0</v>
      </c>
      <c r="E63" s="13">
        <v>0</v>
      </c>
      <c r="F63" s="13">
        <v>0</v>
      </c>
      <c r="G63" s="13">
        <v>0</v>
      </c>
    </row>
    <row r="64" spans="3:10">
      <c r="C64" s="35" t="s">
        <v>280</v>
      </c>
      <c r="D64" s="35">
        <v>0</v>
      </c>
      <c r="E64" s="35">
        <v>0</v>
      </c>
      <c r="F64" s="35">
        <v>0</v>
      </c>
      <c r="G64" s="35">
        <v>0</v>
      </c>
    </row>
    <row r="66" spans="3:7" ht="18">
      <c r="C66" s="198" t="s">
        <v>325</v>
      </c>
    </row>
    <row r="67" spans="3:7">
      <c r="C67" s="40" t="s">
        <v>328</v>
      </c>
    </row>
    <row r="68" spans="3:7">
      <c r="C68" s="40" t="s">
        <v>26</v>
      </c>
    </row>
    <row r="69" spans="3:7" ht="15">
      <c r="C69" s="234" t="s">
        <v>326</v>
      </c>
      <c r="D69" s="242" t="s">
        <v>0</v>
      </c>
    </row>
    <row r="70" spans="3:7">
      <c r="C70" s="13" t="s">
        <v>327</v>
      </c>
      <c r="D70" s="13">
        <v>0.9</v>
      </c>
      <c r="E70" s="303" t="s">
        <v>328</v>
      </c>
    </row>
    <row r="71" spans="3:7">
      <c r="C71" s="13" t="s">
        <v>344</v>
      </c>
      <c r="D71" s="13">
        <v>0.8</v>
      </c>
      <c r="E71" s="303" t="s">
        <v>345</v>
      </c>
    </row>
    <row r="72" spans="3:7">
      <c r="C72" s="13" t="s">
        <v>329</v>
      </c>
      <c r="D72" s="13">
        <v>0.5</v>
      </c>
      <c r="E72" s="303" t="s">
        <v>26</v>
      </c>
    </row>
    <row r="73" spans="3:7">
      <c r="C73" s="35" t="s">
        <v>330</v>
      </c>
      <c r="D73" s="35">
        <v>0.5</v>
      </c>
      <c r="E73" s="303" t="s">
        <v>26</v>
      </c>
    </row>
    <row r="75" spans="3:7" s="31" customFormat="1" ht="18">
      <c r="C75" s="198" t="s">
        <v>575</v>
      </c>
      <c r="E75" s="199"/>
    </row>
    <row r="76" spans="3:7" s="31" customFormat="1" ht="12.75" customHeight="1">
      <c r="C76" s="40" t="s">
        <v>504</v>
      </c>
      <c r="E76" s="199"/>
    </row>
    <row r="77" spans="3:7" s="194" customFormat="1" ht="16.5" customHeight="1">
      <c r="C77" s="200" t="s">
        <v>13</v>
      </c>
      <c r="D77" s="201" t="s">
        <v>558</v>
      </c>
      <c r="E77" s="202" t="s">
        <v>559</v>
      </c>
      <c r="F77" s="201" t="s">
        <v>560</v>
      </c>
      <c r="G77" s="203" t="s">
        <v>561</v>
      </c>
    </row>
    <row r="78" spans="3:7" s="31" customFormat="1">
      <c r="C78" s="204" t="s">
        <v>506</v>
      </c>
      <c r="D78" s="205">
        <v>1</v>
      </c>
      <c r="E78" s="206">
        <v>21</v>
      </c>
      <c r="F78" s="205">
        <v>310</v>
      </c>
      <c r="G78" s="207"/>
    </row>
    <row r="79" spans="3:7" s="31" customFormat="1">
      <c r="C79" s="31" t="s">
        <v>507</v>
      </c>
      <c r="D79" s="199">
        <v>73300</v>
      </c>
      <c r="E79" s="208">
        <v>3</v>
      </c>
      <c r="F79" s="209">
        <v>0.6</v>
      </c>
      <c r="G79" s="210">
        <f>D79+E79*$E$114+F79*$F$114</f>
        <v>73303.06</v>
      </c>
    </row>
    <row r="80" spans="3:7" s="31" customFormat="1">
      <c r="C80" s="31" t="s">
        <v>508</v>
      </c>
      <c r="D80" s="199">
        <v>77000</v>
      </c>
      <c r="E80" s="208">
        <v>3</v>
      </c>
      <c r="F80" s="209">
        <v>0.6</v>
      </c>
      <c r="G80" s="210">
        <f t="shared" ref="G80:G131" si="0">D80+E80*$E$114+F80*$F$114</f>
        <v>77003.06</v>
      </c>
    </row>
    <row r="81" spans="3:7" s="31" customFormat="1">
      <c r="C81" s="31" t="s">
        <v>509</v>
      </c>
      <c r="D81" s="199">
        <v>64200</v>
      </c>
      <c r="E81" s="208">
        <v>3</v>
      </c>
      <c r="F81" s="209">
        <v>0.6</v>
      </c>
      <c r="G81" s="210">
        <f t="shared" si="0"/>
        <v>64203.06</v>
      </c>
    </row>
    <row r="82" spans="3:7" s="31" customFormat="1">
      <c r="C82" s="31" t="s">
        <v>510</v>
      </c>
      <c r="D82" s="199">
        <v>69300</v>
      </c>
      <c r="E82" s="208">
        <v>3</v>
      </c>
      <c r="F82" s="209">
        <v>0.6</v>
      </c>
      <c r="G82" s="210">
        <f t="shared" si="0"/>
        <v>69303.06</v>
      </c>
    </row>
    <row r="83" spans="3:7" s="31" customFormat="1">
      <c r="C83" s="31" t="s">
        <v>511</v>
      </c>
      <c r="D83" s="199">
        <v>70000</v>
      </c>
      <c r="E83" s="208">
        <v>3</v>
      </c>
      <c r="F83" s="209">
        <v>0.6</v>
      </c>
      <c r="G83" s="210">
        <f t="shared" si="0"/>
        <v>70003.06</v>
      </c>
    </row>
    <row r="84" spans="3:7" s="31" customFormat="1">
      <c r="C84" s="31" t="s">
        <v>512</v>
      </c>
      <c r="D84" s="199">
        <v>70000</v>
      </c>
      <c r="E84" s="208">
        <v>3</v>
      </c>
      <c r="F84" s="209">
        <v>0.6</v>
      </c>
      <c r="G84" s="210">
        <f t="shared" si="0"/>
        <v>70003.06</v>
      </c>
    </row>
    <row r="85" spans="3:7" s="31" customFormat="1">
      <c r="C85" s="31" t="s">
        <v>513</v>
      </c>
      <c r="D85" s="199">
        <v>71500</v>
      </c>
      <c r="E85" s="208">
        <v>3</v>
      </c>
      <c r="F85" s="209">
        <v>0.6</v>
      </c>
      <c r="G85" s="210">
        <f t="shared" si="0"/>
        <v>71503.06</v>
      </c>
    </row>
    <row r="86" spans="3:7" s="31" customFormat="1">
      <c r="C86" s="31" t="s">
        <v>514</v>
      </c>
      <c r="D86" s="199">
        <v>71900</v>
      </c>
      <c r="E86" s="208">
        <v>3</v>
      </c>
      <c r="F86" s="209">
        <v>0.6</v>
      </c>
      <c r="G86" s="210">
        <f t="shared" si="0"/>
        <v>71903.06</v>
      </c>
    </row>
    <row r="87" spans="3:7" s="31" customFormat="1">
      <c r="C87" s="31" t="s">
        <v>515</v>
      </c>
      <c r="D87" s="199">
        <v>73300</v>
      </c>
      <c r="E87" s="208">
        <v>3</v>
      </c>
      <c r="F87" s="209">
        <v>0.6</v>
      </c>
      <c r="G87" s="210">
        <f t="shared" si="0"/>
        <v>73303.06</v>
      </c>
    </row>
    <row r="88" spans="3:7" s="31" customFormat="1">
      <c r="C88" s="31" t="s">
        <v>516</v>
      </c>
      <c r="D88" s="199">
        <v>74100</v>
      </c>
      <c r="E88" s="208">
        <v>3</v>
      </c>
      <c r="F88" s="209">
        <v>0.6</v>
      </c>
      <c r="G88" s="210">
        <f t="shared" si="0"/>
        <v>74103.06</v>
      </c>
    </row>
    <row r="89" spans="3:7" s="31" customFormat="1">
      <c r="C89" s="31" t="s">
        <v>517</v>
      </c>
      <c r="D89" s="199">
        <v>77400</v>
      </c>
      <c r="E89" s="208">
        <v>3</v>
      </c>
      <c r="F89" s="209">
        <v>0.6</v>
      </c>
      <c r="G89" s="210">
        <f t="shared" si="0"/>
        <v>77403.06</v>
      </c>
    </row>
    <row r="90" spans="3:7" s="31" customFormat="1">
      <c r="C90" s="31" t="s">
        <v>518</v>
      </c>
      <c r="D90" s="199">
        <v>63100</v>
      </c>
      <c r="E90" s="208">
        <v>1</v>
      </c>
      <c r="F90" s="209">
        <v>0.1</v>
      </c>
      <c r="G90" s="210">
        <f t="shared" si="0"/>
        <v>63101.01</v>
      </c>
    </row>
    <row r="91" spans="3:7" s="31" customFormat="1">
      <c r="C91" s="31" t="s">
        <v>519</v>
      </c>
      <c r="D91" s="199">
        <v>61600</v>
      </c>
      <c r="E91" s="208">
        <v>1</v>
      </c>
      <c r="F91" s="209">
        <v>0.1</v>
      </c>
      <c r="G91" s="210">
        <f t="shared" si="0"/>
        <v>61601.01</v>
      </c>
    </row>
    <row r="92" spans="3:7" s="31" customFormat="1">
      <c r="C92" s="31" t="s">
        <v>520</v>
      </c>
      <c r="D92" s="199">
        <v>73300</v>
      </c>
      <c r="E92" s="208">
        <v>3</v>
      </c>
      <c r="F92" s="209">
        <v>0.6</v>
      </c>
      <c r="G92" s="210">
        <f t="shared" si="0"/>
        <v>73303.06</v>
      </c>
    </row>
    <row r="93" spans="3:7" s="31" customFormat="1">
      <c r="C93" s="31" t="s">
        <v>521</v>
      </c>
      <c r="D93" s="199">
        <v>80700</v>
      </c>
      <c r="E93" s="208">
        <v>3</v>
      </c>
      <c r="F93" s="209">
        <v>0.6</v>
      </c>
      <c r="G93" s="210">
        <f t="shared" si="0"/>
        <v>80703.06</v>
      </c>
    </row>
    <row r="94" spans="3:7" s="31" customFormat="1">
      <c r="C94" s="31" t="s">
        <v>522</v>
      </c>
      <c r="D94" s="199">
        <v>73300</v>
      </c>
      <c r="E94" s="208">
        <v>3</v>
      </c>
      <c r="F94" s="209">
        <v>0.6</v>
      </c>
      <c r="G94" s="210">
        <f t="shared" si="0"/>
        <v>73303.06</v>
      </c>
    </row>
    <row r="95" spans="3:7" s="31" customFormat="1">
      <c r="C95" s="193" t="s">
        <v>523</v>
      </c>
      <c r="D95" s="199">
        <v>97500</v>
      </c>
      <c r="E95" s="208">
        <v>3</v>
      </c>
      <c r="F95" s="209">
        <v>0.6</v>
      </c>
      <c r="G95" s="210">
        <f t="shared" si="0"/>
        <v>97503.06</v>
      </c>
    </row>
    <row r="96" spans="3:7" s="31" customFormat="1">
      <c r="C96" s="31" t="s">
        <v>524</v>
      </c>
      <c r="D96" s="199">
        <v>73300</v>
      </c>
      <c r="E96" s="208">
        <v>3</v>
      </c>
      <c r="F96" s="209">
        <v>0.6</v>
      </c>
      <c r="G96" s="210">
        <f t="shared" si="0"/>
        <v>73303.06</v>
      </c>
    </row>
    <row r="97" spans="3:7" s="31" customFormat="1">
      <c r="C97" s="31" t="s">
        <v>525</v>
      </c>
      <c r="D97" s="199">
        <v>57600</v>
      </c>
      <c r="E97" s="208">
        <v>1</v>
      </c>
      <c r="F97" s="209">
        <v>0.1</v>
      </c>
      <c r="G97" s="210">
        <f t="shared" si="0"/>
        <v>57601.01</v>
      </c>
    </row>
    <row r="98" spans="3:7" s="31" customFormat="1">
      <c r="C98" s="31" t="s">
        <v>526</v>
      </c>
      <c r="D98" s="199">
        <v>73300</v>
      </c>
      <c r="E98" s="208">
        <v>3</v>
      </c>
      <c r="F98" s="209">
        <v>0.6</v>
      </c>
      <c r="G98" s="210">
        <f t="shared" si="0"/>
        <v>73303.06</v>
      </c>
    </row>
    <row r="99" spans="3:7" s="31" customFormat="1">
      <c r="C99" s="31" t="s">
        <v>527</v>
      </c>
      <c r="D99" s="199">
        <v>73300</v>
      </c>
      <c r="E99" s="208">
        <v>3</v>
      </c>
      <c r="F99" s="209">
        <v>0.6</v>
      </c>
      <c r="G99" s="210">
        <f t="shared" si="0"/>
        <v>73303.06</v>
      </c>
    </row>
    <row r="100" spans="3:7" s="31" customFormat="1">
      <c r="C100" s="193" t="s">
        <v>528</v>
      </c>
      <c r="D100" s="199">
        <v>73300</v>
      </c>
      <c r="E100" s="208">
        <v>3</v>
      </c>
      <c r="F100" s="209">
        <v>0.6</v>
      </c>
      <c r="G100" s="210">
        <f t="shared" si="0"/>
        <v>73303.06</v>
      </c>
    </row>
    <row r="101" spans="3:7" s="31" customFormat="1">
      <c r="C101" s="194" t="s">
        <v>529</v>
      </c>
      <c r="D101" s="199">
        <v>98300</v>
      </c>
      <c r="E101" s="208">
        <v>10</v>
      </c>
      <c r="F101" s="209">
        <v>1.5</v>
      </c>
      <c r="G101" s="210">
        <f t="shared" si="0"/>
        <v>98310.15</v>
      </c>
    </row>
    <row r="102" spans="3:7" s="31" customFormat="1">
      <c r="C102" s="31" t="s">
        <v>530</v>
      </c>
      <c r="D102" s="199">
        <v>94600</v>
      </c>
      <c r="E102" s="208">
        <v>10</v>
      </c>
      <c r="F102" s="209">
        <v>1.5</v>
      </c>
      <c r="G102" s="210">
        <f t="shared" si="0"/>
        <v>94610.15</v>
      </c>
    </row>
    <row r="103" spans="3:7" s="31" customFormat="1">
      <c r="C103" s="31" t="s">
        <v>531</v>
      </c>
      <c r="D103" s="199">
        <v>94600</v>
      </c>
      <c r="E103" s="208">
        <v>10</v>
      </c>
      <c r="F103" s="209">
        <v>1.5</v>
      </c>
      <c r="G103" s="210">
        <f t="shared" si="0"/>
        <v>94610.15</v>
      </c>
    </row>
    <row r="104" spans="3:7" s="31" customFormat="1">
      <c r="C104" s="31" t="s">
        <v>532</v>
      </c>
      <c r="D104" s="199">
        <v>96100</v>
      </c>
      <c r="E104" s="208">
        <v>10</v>
      </c>
      <c r="F104" s="209">
        <v>1.5</v>
      </c>
      <c r="G104" s="210">
        <f t="shared" si="0"/>
        <v>96110.15</v>
      </c>
    </row>
    <row r="105" spans="3:7" s="31" customFormat="1">
      <c r="C105" s="31" t="s">
        <v>533</v>
      </c>
      <c r="D105" s="199">
        <v>101000</v>
      </c>
      <c r="E105" s="208">
        <v>10</v>
      </c>
      <c r="F105" s="209">
        <v>1.5</v>
      </c>
      <c r="G105" s="210">
        <f t="shared" si="0"/>
        <v>101010.15</v>
      </c>
    </row>
    <row r="106" spans="3:7" s="31" customFormat="1">
      <c r="C106" s="31" t="s">
        <v>534</v>
      </c>
      <c r="D106" s="199">
        <v>107000</v>
      </c>
      <c r="E106" s="208">
        <v>10</v>
      </c>
      <c r="F106" s="209">
        <v>1.5</v>
      </c>
      <c r="G106" s="210">
        <f t="shared" si="0"/>
        <v>107010.15</v>
      </c>
    </row>
    <row r="107" spans="3:7" s="31" customFormat="1">
      <c r="C107" s="31" t="s">
        <v>535</v>
      </c>
      <c r="D107" s="199">
        <v>97500</v>
      </c>
      <c r="E107" s="208">
        <v>10</v>
      </c>
      <c r="F107" s="209">
        <v>1.5</v>
      </c>
      <c r="G107" s="210">
        <f t="shared" si="0"/>
        <v>97510.15</v>
      </c>
    </row>
    <row r="108" spans="3:7" s="31" customFormat="1">
      <c r="C108" s="31" t="s">
        <v>536</v>
      </c>
      <c r="D108" s="199">
        <v>97500</v>
      </c>
      <c r="E108" s="208">
        <v>10</v>
      </c>
      <c r="F108" s="209">
        <v>1.5</v>
      </c>
      <c r="G108" s="210">
        <f t="shared" si="0"/>
        <v>97510.15</v>
      </c>
    </row>
    <row r="109" spans="3:7" s="31" customFormat="1">
      <c r="C109" s="31" t="s">
        <v>537</v>
      </c>
      <c r="D109" s="199">
        <v>107000</v>
      </c>
      <c r="E109" s="208">
        <v>10</v>
      </c>
      <c r="F109" s="209">
        <v>1.5</v>
      </c>
      <c r="G109" s="210">
        <f t="shared" si="0"/>
        <v>107010.15</v>
      </c>
    </row>
    <row r="110" spans="3:7" s="31" customFormat="1">
      <c r="C110" s="31" t="s">
        <v>557</v>
      </c>
      <c r="D110" s="199">
        <v>107000</v>
      </c>
      <c r="E110" s="208">
        <v>1</v>
      </c>
      <c r="F110" s="209">
        <v>0.1</v>
      </c>
      <c r="G110" s="210">
        <f t="shared" si="0"/>
        <v>107001.01</v>
      </c>
    </row>
    <row r="111" spans="3:7" s="31" customFormat="1">
      <c r="C111" s="31" t="s">
        <v>538</v>
      </c>
      <c r="D111" s="199">
        <v>80700</v>
      </c>
      <c r="E111" s="208">
        <v>10</v>
      </c>
      <c r="F111" s="209">
        <v>1.5</v>
      </c>
      <c r="G111" s="210">
        <f t="shared" si="0"/>
        <v>80710.149999999994</v>
      </c>
    </row>
    <row r="112" spans="3:7" s="31" customFormat="1">
      <c r="C112" s="31" t="s">
        <v>539</v>
      </c>
      <c r="D112" s="199">
        <v>44400</v>
      </c>
      <c r="E112" s="208">
        <v>1</v>
      </c>
      <c r="F112" s="209">
        <v>0.1</v>
      </c>
      <c r="G112" s="210">
        <f t="shared" si="0"/>
        <v>44401.01</v>
      </c>
    </row>
    <row r="113" spans="3:7" s="31" customFormat="1">
      <c r="C113" s="31" t="s">
        <v>540</v>
      </c>
      <c r="D113" s="199">
        <v>44400</v>
      </c>
      <c r="E113" s="208">
        <v>1</v>
      </c>
      <c r="F113" s="209">
        <v>0.1</v>
      </c>
      <c r="G113" s="210">
        <f t="shared" si="0"/>
        <v>44401.01</v>
      </c>
    </row>
    <row r="114" spans="3:7" s="31" customFormat="1">
      <c r="C114" s="31" t="s">
        <v>541</v>
      </c>
      <c r="D114" s="199">
        <v>260000</v>
      </c>
      <c r="E114" s="208">
        <v>1</v>
      </c>
      <c r="F114" s="209">
        <v>0.1</v>
      </c>
      <c r="G114" s="210">
        <f t="shared" si="0"/>
        <v>260001.01</v>
      </c>
    </row>
    <row r="115" spans="3:7" s="31" customFormat="1">
      <c r="C115" s="31" t="s">
        <v>542</v>
      </c>
      <c r="D115" s="199">
        <v>182000</v>
      </c>
      <c r="E115" s="208">
        <v>1</v>
      </c>
      <c r="F115" s="209">
        <v>0.1</v>
      </c>
      <c r="G115" s="210">
        <f t="shared" si="0"/>
        <v>182001.01</v>
      </c>
    </row>
    <row r="116" spans="3:7" s="31" customFormat="1">
      <c r="C116" s="31" t="s">
        <v>509</v>
      </c>
      <c r="D116" s="199">
        <v>56100</v>
      </c>
      <c r="E116" s="208">
        <v>1</v>
      </c>
      <c r="F116" s="209">
        <v>0.1</v>
      </c>
      <c r="G116" s="210">
        <f t="shared" si="0"/>
        <v>56101.01</v>
      </c>
    </row>
    <row r="117" spans="3:7" s="31" customFormat="1">
      <c r="C117" s="31" t="s">
        <v>543</v>
      </c>
      <c r="D117" s="199">
        <v>91700</v>
      </c>
      <c r="E117" s="208">
        <v>30</v>
      </c>
      <c r="F117" s="209">
        <v>4</v>
      </c>
      <c r="G117" s="210">
        <f t="shared" si="0"/>
        <v>91730.4</v>
      </c>
    </row>
    <row r="118" spans="3:7" s="31" customFormat="1">
      <c r="C118" s="31" t="s">
        <v>544</v>
      </c>
      <c r="D118" s="199">
        <v>143000</v>
      </c>
      <c r="E118" s="208">
        <v>30</v>
      </c>
      <c r="F118" s="209">
        <v>4</v>
      </c>
      <c r="G118" s="210">
        <f t="shared" si="0"/>
        <v>143030.39999999999</v>
      </c>
    </row>
    <row r="119" spans="3:7" s="31" customFormat="1">
      <c r="C119" s="31" t="s">
        <v>545</v>
      </c>
      <c r="D119" s="199">
        <v>73300</v>
      </c>
      <c r="E119" s="208">
        <v>30</v>
      </c>
      <c r="F119" s="209">
        <v>4</v>
      </c>
      <c r="G119" s="210">
        <f t="shared" si="0"/>
        <v>73330.399999999994</v>
      </c>
    </row>
    <row r="120" spans="3:7" s="31" customFormat="1">
      <c r="C120" s="31" t="s">
        <v>546</v>
      </c>
      <c r="D120" s="199">
        <v>106000</v>
      </c>
      <c r="E120" s="208">
        <v>2</v>
      </c>
      <c r="F120" s="209">
        <v>1.5</v>
      </c>
      <c r="G120" s="210">
        <f t="shared" si="0"/>
        <v>106002.15</v>
      </c>
    </row>
    <row r="121" spans="3:7" s="31" customFormat="1">
      <c r="C121" s="193" t="s">
        <v>276</v>
      </c>
      <c r="D121" s="199">
        <v>112000</v>
      </c>
      <c r="E121" s="208">
        <v>30</v>
      </c>
      <c r="F121" s="209">
        <v>4</v>
      </c>
      <c r="G121" s="210">
        <f t="shared" si="0"/>
        <v>112030.39999999999</v>
      </c>
    </row>
    <row r="122" spans="3:7" s="31" customFormat="1">
      <c r="C122" s="195" t="s">
        <v>547</v>
      </c>
      <c r="D122" s="199">
        <v>95300</v>
      </c>
      <c r="E122" s="208">
        <v>3</v>
      </c>
      <c r="F122" s="209">
        <v>2</v>
      </c>
      <c r="G122" s="210">
        <f t="shared" si="0"/>
        <v>95303.2</v>
      </c>
    </row>
    <row r="123" spans="3:7" s="31" customFormat="1">
      <c r="C123" s="31" t="s">
        <v>548</v>
      </c>
      <c r="D123" s="199">
        <v>100000</v>
      </c>
      <c r="E123" s="208">
        <v>30</v>
      </c>
      <c r="F123" s="209">
        <v>4</v>
      </c>
      <c r="G123" s="210">
        <f t="shared" si="0"/>
        <v>100030.39999999999</v>
      </c>
    </row>
    <row r="124" spans="3:7" s="31" customFormat="1">
      <c r="C124" s="31" t="s">
        <v>549</v>
      </c>
      <c r="D124" s="199">
        <v>112000</v>
      </c>
      <c r="E124" s="208">
        <v>200</v>
      </c>
      <c r="F124" s="209">
        <v>4</v>
      </c>
      <c r="G124" s="210">
        <f t="shared" si="0"/>
        <v>112200.4</v>
      </c>
    </row>
    <row r="125" spans="3:7" s="31" customFormat="1">
      <c r="C125" s="31" t="s">
        <v>550</v>
      </c>
      <c r="D125" s="199">
        <v>70800</v>
      </c>
      <c r="E125" s="208">
        <v>3</v>
      </c>
      <c r="F125" s="209">
        <v>0.6</v>
      </c>
      <c r="G125" s="210">
        <f t="shared" si="0"/>
        <v>70803.06</v>
      </c>
    </row>
    <row r="126" spans="3:7" s="31" customFormat="1">
      <c r="C126" s="31" t="s">
        <v>551</v>
      </c>
      <c r="D126" s="199">
        <v>70800</v>
      </c>
      <c r="E126" s="208">
        <v>3</v>
      </c>
      <c r="F126" s="209">
        <v>0.6</v>
      </c>
      <c r="G126" s="210">
        <f t="shared" si="0"/>
        <v>70803.06</v>
      </c>
    </row>
    <row r="127" spans="3:7" s="31" customFormat="1">
      <c r="C127" s="31" t="s">
        <v>552</v>
      </c>
      <c r="D127" s="199">
        <v>79600</v>
      </c>
      <c r="E127" s="208">
        <v>3</v>
      </c>
      <c r="F127" s="209">
        <v>0.6</v>
      </c>
      <c r="G127" s="210">
        <f t="shared" si="0"/>
        <v>79603.06</v>
      </c>
    </row>
    <row r="128" spans="3:7" s="31" customFormat="1">
      <c r="C128" s="31" t="s">
        <v>553</v>
      </c>
      <c r="D128" s="199">
        <v>54600</v>
      </c>
      <c r="E128" s="208">
        <v>1</v>
      </c>
      <c r="F128" s="209">
        <v>0.1</v>
      </c>
      <c r="G128" s="210">
        <f t="shared" si="0"/>
        <v>54601.01</v>
      </c>
    </row>
    <row r="129" spans="1:54" s="31" customFormat="1">
      <c r="C129" s="31" t="s">
        <v>554</v>
      </c>
      <c r="D129" s="199">
        <v>54600</v>
      </c>
      <c r="E129" s="208">
        <v>1</v>
      </c>
      <c r="F129" s="209">
        <v>0.1</v>
      </c>
      <c r="G129" s="210">
        <f t="shared" si="0"/>
        <v>54601.01</v>
      </c>
    </row>
    <row r="130" spans="1:54" s="31" customFormat="1">
      <c r="C130" s="31" t="s">
        <v>555</v>
      </c>
      <c r="D130" s="199">
        <v>54600</v>
      </c>
      <c r="E130" s="208">
        <v>1</v>
      </c>
      <c r="F130" s="209">
        <v>0.1</v>
      </c>
      <c r="G130" s="210">
        <f t="shared" si="0"/>
        <v>54601.01</v>
      </c>
    </row>
    <row r="131" spans="1:54" s="31" customFormat="1">
      <c r="C131" s="35" t="s">
        <v>556</v>
      </c>
      <c r="D131" s="196">
        <v>100000</v>
      </c>
      <c r="E131" s="217">
        <v>30</v>
      </c>
      <c r="F131" s="218">
        <v>4</v>
      </c>
      <c r="G131" s="219">
        <f t="shared" si="0"/>
        <v>100030.39999999999</v>
      </c>
    </row>
    <row r="132" spans="1:54" s="31" customFormat="1">
      <c r="D132" s="199"/>
      <c r="E132" s="208"/>
      <c r="F132" s="209"/>
      <c r="G132" s="289"/>
    </row>
    <row r="133" spans="1:54" s="306" customFormat="1" ht="18">
      <c r="C133" s="224" t="s">
        <v>196</v>
      </c>
    </row>
    <row r="134" spans="1:54">
      <c r="C134" s="40" t="s">
        <v>180</v>
      </c>
    </row>
    <row r="135" spans="1:54" s="31" customFormat="1">
      <c r="A135" s="13"/>
      <c r="B135" s="13"/>
      <c r="C135" s="227" t="s">
        <v>181</v>
      </c>
      <c r="D135" s="227" t="s">
        <v>182</v>
      </c>
      <c r="E135" s="229"/>
      <c r="F135" s="229"/>
      <c r="G135" s="229"/>
      <c r="H135" s="229"/>
      <c r="I135" s="229"/>
      <c r="J135" s="229"/>
      <c r="K135" s="229"/>
      <c r="L135" s="229"/>
      <c r="M135" s="229"/>
      <c r="N135" s="229"/>
      <c r="O135" s="229"/>
      <c r="P135" s="229"/>
      <c r="Q135" s="229"/>
      <c r="R135" s="229"/>
      <c r="S135" s="229"/>
      <c r="T135" s="229"/>
      <c r="U135" s="229"/>
      <c r="V135" s="229"/>
      <c r="W135" s="229"/>
      <c r="X135" s="229"/>
      <c r="Y135" s="229"/>
      <c r="Z135" s="229"/>
      <c r="AA135" s="229"/>
      <c r="AB135" s="229"/>
      <c r="AC135" s="229"/>
      <c r="AD135" s="229"/>
      <c r="AE135" s="229"/>
      <c r="AF135" s="229"/>
      <c r="AG135" s="229"/>
      <c r="AH135" s="229"/>
      <c r="AI135" s="229"/>
      <c r="AJ135" s="229"/>
      <c r="AK135" s="229"/>
      <c r="AL135" s="229"/>
      <c r="AM135" s="229"/>
      <c r="AN135" s="229"/>
      <c r="AO135" s="229"/>
      <c r="AP135" s="229"/>
      <c r="AQ135" s="229"/>
      <c r="AR135" s="229"/>
      <c r="AS135" s="229"/>
      <c r="AT135" s="229"/>
      <c r="AU135" s="229"/>
      <c r="AV135" s="229"/>
      <c r="AW135" s="229"/>
      <c r="AX135" s="229"/>
      <c r="AY135" s="229"/>
      <c r="AZ135" s="229"/>
      <c r="BA135" s="229"/>
      <c r="BB135" s="229"/>
    </row>
    <row r="136" spans="1:54">
      <c r="C136" s="13" t="s">
        <v>183</v>
      </c>
      <c r="D136" s="13">
        <v>0.50485579999999997</v>
      </c>
    </row>
    <row r="137" spans="1:54">
      <c r="C137" s="13" t="s">
        <v>184</v>
      </c>
      <c r="D137" s="13">
        <v>0.513069</v>
      </c>
    </row>
    <row r="138" spans="1:54">
      <c r="C138" s="13" t="s">
        <v>185</v>
      </c>
      <c r="D138" s="13">
        <v>0.49541099999999999</v>
      </c>
    </row>
    <row r="139" spans="1:54">
      <c r="C139" s="13" t="s">
        <v>186</v>
      </c>
      <c r="D139" s="13">
        <v>0.33866099999999999</v>
      </c>
    </row>
    <row r="140" spans="1:54">
      <c r="C140" s="13" t="s">
        <v>187</v>
      </c>
      <c r="D140" s="13">
        <v>0.64548800000000006</v>
      </c>
    </row>
    <row r="141" spans="1:54">
      <c r="C141" s="13" t="s">
        <v>188</v>
      </c>
      <c r="D141" s="13">
        <v>0.19358649999999999</v>
      </c>
    </row>
    <row r="142" spans="1:54">
      <c r="C142" s="13" t="s">
        <v>189</v>
      </c>
      <c r="D142" s="13">
        <v>0.67047370000000006</v>
      </c>
    </row>
    <row r="143" spans="1:54">
      <c r="C143" s="13" t="s">
        <v>190</v>
      </c>
      <c r="D143" s="13">
        <v>0.4988224</v>
      </c>
    </row>
    <row r="144" spans="1:54">
      <c r="C144" s="13" t="s">
        <v>191</v>
      </c>
      <c r="D144" s="13">
        <v>0.3406189</v>
      </c>
    </row>
    <row r="145" spans="3:4">
      <c r="C145" s="13" t="s">
        <v>192</v>
      </c>
      <c r="D145" s="13">
        <v>0.7293463</v>
      </c>
    </row>
    <row r="146" spans="3:4">
      <c r="C146" s="13" t="s">
        <v>40</v>
      </c>
      <c r="D146" s="13">
        <v>3.2440199999999995E-2</v>
      </c>
    </row>
    <row r="147" spans="3:4">
      <c r="C147" s="13" t="s">
        <v>41</v>
      </c>
      <c r="D147" s="13">
        <v>0.68811820000000001</v>
      </c>
    </row>
    <row r="148" spans="3:4">
      <c r="C148" s="13" t="s">
        <v>42</v>
      </c>
      <c r="D148" s="13">
        <v>9.8200400000000007E-2</v>
      </c>
    </row>
    <row r="149" spans="3:4">
      <c r="C149" s="13" t="s">
        <v>43</v>
      </c>
      <c r="D149" s="13">
        <v>0.30336960000000002</v>
      </c>
    </row>
    <row r="150" spans="3:4">
      <c r="C150" s="13" t="s">
        <v>44</v>
      </c>
      <c r="D150" s="13">
        <v>0.13829089999999999</v>
      </c>
    </row>
    <row r="151" spans="3:4">
      <c r="C151" s="13" t="s">
        <v>45</v>
      </c>
      <c r="D151" s="13">
        <v>0.9205270000000001</v>
      </c>
    </row>
    <row r="152" spans="3:4">
      <c r="C152" s="13" t="s">
        <v>46</v>
      </c>
      <c r="D152" s="13">
        <v>0.21447099999999999</v>
      </c>
    </row>
    <row r="153" spans="3:4">
      <c r="C153" s="13" t="s">
        <v>47</v>
      </c>
      <c r="D153" s="13">
        <v>0.47347519999999998</v>
      </c>
    </row>
    <row r="154" spans="3:4">
      <c r="C154" s="13" t="s">
        <v>48</v>
      </c>
      <c r="D154" s="13">
        <v>0.82486369999999998</v>
      </c>
    </row>
    <row r="155" spans="3:4">
      <c r="C155" s="13" t="s">
        <v>49</v>
      </c>
      <c r="D155" s="13">
        <v>0.58433079999999993</v>
      </c>
    </row>
    <row r="156" spans="3:4">
      <c r="C156" s="13" t="s">
        <v>50</v>
      </c>
      <c r="D156" s="13">
        <v>0.2963771</v>
      </c>
    </row>
    <row r="157" spans="3:4">
      <c r="C157" s="13" t="s">
        <v>51</v>
      </c>
      <c r="D157" s="13">
        <v>0.26003599999999999</v>
      </c>
    </row>
    <row r="158" spans="3:4">
      <c r="C158" s="13" t="s">
        <v>52</v>
      </c>
      <c r="D158" s="13">
        <v>0.69621259999999996</v>
      </c>
    </row>
    <row r="159" spans="3:4">
      <c r="C159" s="13" t="s">
        <v>53</v>
      </c>
      <c r="D159" s="13">
        <v>0.5049688</v>
      </c>
    </row>
    <row r="160" spans="3:4">
      <c r="C160" s="13" t="s">
        <v>54</v>
      </c>
      <c r="D160" s="13">
        <v>0.80195799999999995</v>
      </c>
    </row>
    <row r="161" spans="3:4">
      <c r="C161" s="13" t="s">
        <v>55</v>
      </c>
      <c r="D161" s="13">
        <v>1.8514538999999999</v>
      </c>
    </row>
    <row r="162" spans="3:4">
      <c r="C162" s="13" t="s">
        <v>56</v>
      </c>
      <c r="D162" s="13">
        <v>8.1437599999999999E-2</v>
      </c>
    </row>
    <row r="163" spans="3:4">
      <c r="C163" s="13" t="s">
        <v>57</v>
      </c>
      <c r="D163" s="13">
        <v>0.82100490000000004</v>
      </c>
    </row>
    <row r="164" spans="3:4">
      <c r="C164" s="13" t="s">
        <v>58</v>
      </c>
      <c r="D164" s="13">
        <v>0.44796179999999997</v>
      </c>
    </row>
    <row r="165" spans="3:4">
      <c r="C165" s="13" t="s">
        <v>59</v>
      </c>
      <c r="D165" s="13">
        <v>1.0049344</v>
      </c>
    </row>
    <row r="166" spans="3:4">
      <c r="C166" s="13" t="s">
        <v>60</v>
      </c>
      <c r="D166" s="13">
        <v>4.2535699999999996E-2</v>
      </c>
    </row>
    <row r="167" spans="3:4">
      <c r="C167" s="13" t="s">
        <v>61</v>
      </c>
      <c r="D167" s="13">
        <v>0.18417900000000001</v>
      </c>
    </row>
    <row r="168" spans="3:4">
      <c r="C168" s="13" t="s">
        <v>62</v>
      </c>
      <c r="D168" s="13">
        <v>0.29424250000000002</v>
      </c>
    </row>
    <row r="169" spans="3:4">
      <c r="C169" s="13" t="s">
        <v>135</v>
      </c>
      <c r="D169" s="13">
        <v>0.7875875</v>
      </c>
    </row>
    <row r="170" spans="3:4">
      <c r="C170" s="13" t="s">
        <v>63</v>
      </c>
      <c r="D170" s="13">
        <v>0.65888190000000002</v>
      </c>
    </row>
    <row r="171" spans="3:4">
      <c r="C171" s="13" t="s">
        <v>64</v>
      </c>
      <c r="D171" s="13">
        <v>0.14961720000000001</v>
      </c>
    </row>
    <row r="172" spans="3:4">
      <c r="C172" s="13" t="s">
        <v>65</v>
      </c>
      <c r="D172" s="13">
        <v>0.1023289</v>
      </c>
    </row>
    <row r="173" spans="3:4">
      <c r="C173" s="13" t="s">
        <v>73</v>
      </c>
      <c r="D173" s="13">
        <v>2.7816E-3</v>
      </c>
    </row>
    <row r="174" spans="3:4">
      <c r="C174" s="13" t="s">
        <v>66</v>
      </c>
      <c r="D174" s="13">
        <v>4.7398499999999996E-2</v>
      </c>
    </row>
    <row r="175" spans="3:4">
      <c r="C175" s="13" t="s">
        <v>67</v>
      </c>
      <c r="D175" s="13">
        <v>0.43621719999999997</v>
      </c>
    </row>
    <row r="176" spans="3:4">
      <c r="C176" s="13" t="s">
        <v>68</v>
      </c>
      <c r="D176" s="13">
        <v>0.31839800000000001</v>
      </c>
    </row>
    <row r="177" spans="3:4">
      <c r="C177" s="13" t="s">
        <v>69</v>
      </c>
      <c r="D177" s="13">
        <v>1.0194388999999999</v>
      </c>
    </row>
    <row r="178" spans="3:4">
      <c r="C178" s="13" t="s">
        <v>70</v>
      </c>
      <c r="D178" s="13">
        <v>0.75828020000000007</v>
      </c>
    </row>
    <row r="179" spans="3:4">
      <c r="C179" s="13" t="s">
        <v>71</v>
      </c>
      <c r="D179" s="13">
        <v>0.52662900000000001</v>
      </c>
    </row>
    <row r="180" spans="3:4">
      <c r="C180" s="13" t="s">
        <v>74</v>
      </c>
      <c r="D180" s="13">
        <v>0.341339</v>
      </c>
    </row>
    <row r="181" spans="3:4">
      <c r="C181" s="13" t="s">
        <v>75</v>
      </c>
      <c r="D181" s="13">
        <v>0.6238551</v>
      </c>
    </row>
    <row r="182" spans="3:4">
      <c r="C182" s="13" t="s">
        <v>76</v>
      </c>
      <c r="D182" s="13">
        <v>0.3957349</v>
      </c>
    </row>
    <row r="183" spans="3:4">
      <c r="C183" s="13" t="s">
        <v>9</v>
      </c>
      <c r="D183" s="13">
        <v>0.46980840000000001</v>
      </c>
    </row>
    <row r="184" spans="3:4">
      <c r="C184" s="13" t="s">
        <v>77</v>
      </c>
      <c r="D184" s="13">
        <v>0.2167277</v>
      </c>
    </row>
    <row r="185" spans="3:4">
      <c r="C185" s="13" t="s">
        <v>78</v>
      </c>
      <c r="D185" s="13">
        <v>0.69034200000000001</v>
      </c>
    </row>
    <row r="186" spans="3:4">
      <c r="C186" s="13" t="s">
        <v>79</v>
      </c>
      <c r="D186" s="13">
        <v>0.64015809999999995</v>
      </c>
    </row>
    <row r="187" spans="3:4">
      <c r="C187" s="13" t="s">
        <v>80</v>
      </c>
      <c r="D187" s="13">
        <v>2.9140000000000004E-3</v>
      </c>
    </row>
    <row r="188" spans="3:4">
      <c r="C188" s="13" t="s">
        <v>81</v>
      </c>
      <c r="D188" s="13">
        <v>0.241592</v>
      </c>
    </row>
    <row r="189" spans="3:4">
      <c r="C189" s="13" t="s">
        <v>83</v>
      </c>
      <c r="D189" s="13">
        <v>8.4953000000000001E-2</v>
      </c>
    </row>
    <row r="190" spans="3:4">
      <c r="C190" s="13" t="s">
        <v>84</v>
      </c>
      <c r="D190" s="13">
        <v>0.34666050000000004</v>
      </c>
    </row>
    <row r="191" spans="3:4">
      <c r="C191" s="13" t="s">
        <v>85</v>
      </c>
      <c r="D191" s="13">
        <v>0.14496780000000001</v>
      </c>
    </row>
    <row r="192" spans="3:4">
      <c r="C192" s="13" t="s">
        <v>86</v>
      </c>
      <c r="D192" s="13">
        <v>0.40362900000000002</v>
      </c>
    </row>
    <row r="193" spans="3:4">
      <c r="C193" s="13" t="s">
        <v>87</v>
      </c>
      <c r="D193" s="13">
        <v>0.27569850000000001</v>
      </c>
    </row>
    <row r="194" spans="3:4">
      <c r="C194" s="13" t="s">
        <v>88</v>
      </c>
      <c r="D194" s="13">
        <v>0.73043050000000009</v>
      </c>
    </row>
    <row r="195" spans="3:4">
      <c r="C195" s="13" t="s">
        <v>89</v>
      </c>
      <c r="D195" s="13">
        <v>0.72496400000000005</v>
      </c>
    </row>
    <row r="196" spans="3:4">
      <c r="C196" s="13" t="s">
        <v>90</v>
      </c>
      <c r="D196" s="13">
        <v>0.33441470000000001</v>
      </c>
    </row>
    <row r="197" spans="3:4">
      <c r="C197" s="13" t="s">
        <v>91</v>
      </c>
      <c r="D197" s="13">
        <v>0.30518250000000002</v>
      </c>
    </row>
    <row r="198" spans="3:4">
      <c r="C198" s="13" t="s">
        <v>92</v>
      </c>
      <c r="D198" s="13">
        <v>0.41325259999999997</v>
      </c>
    </row>
    <row r="199" spans="3:4">
      <c r="C199" s="13" t="s">
        <v>93</v>
      </c>
      <c r="D199" s="13">
        <v>0.85461260000000006</v>
      </c>
    </row>
    <row r="200" spans="3:4">
      <c r="C200" s="13" t="s">
        <v>94</v>
      </c>
      <c r="D200" s="13">
        <v>0.34392700000000004</v>
      </c>
    </row>
    <row r="201" spans="3:4">
      <c r="C201" s="13" t="s">
        <v>95</v>
      </c>
      <c r="D201" s="13">
        <v>5.4200000000000006E-4</v>
      </c>
    </row>
    <row r="202" spans="3:4">
      <c r="C202" s="13" t="s">
        <v>96</v>
      </c>
      <c r="D202" s="13">
        <v>0.9440385</v>
      </c>
    </row>
    <row r="203" spans="3:4">
      <c r="C203" s="13" t="s">
        <v>97</v>
      </c>
      <c r="D203" s="13">
        <v>0.67672529999999997</v>
      </c>
    </row>
    <row r="204" spans="3:4">
      <c r="C204" s="13" t="s">
        <v>100</v>
      </c>
      <c r="D204" s="13">
        <v>0.51435469999999994</v>
      </c>
    </row>
    <row r="205" spans="3:4">
      <c r="C205" s="13" t="s">
        <v>98</v>
      </c>
      <c r="D205" s="13">
        <v>0.70090959999999991</v>
      </c>
    </row>
    <row r="206" spans="3:4">
      <c r="C206" s="13" t="s">
        <v>99</v>
      </c>
      <c r="D206" s="13">
        <v>0.53533299999999995</v>
      </c>
    </row>
    <row r="207" spans="3:4">
      <c r="C207" s="13" t="s">
        <v>101</v>
      </c>
      <c r="D207" s="13">
        <v>0.77365099999999998</v>
      </c>
    </row>
    <row r="208" spans="3:4">
      <c r="C208" s="13" t="s">
        <v>102</v>
      </c>
      <c r="D208" s="13">
        <v>0.40351199999999998</v>
      </c>
    </row>
    <row r="209" spans="3:4">
      <c r="C209" s="13" t="s">
        <v>103</v>
      </c>
      <c r="D209" s="13">
        <v>0.82975509999999997</v>
      </c>
    </row>
    <row r="210" spans="3:4">
      <c r="C210" s="13" t="s">
        <v>104</v>
      </c>
      <c r="D210" s="13">
        <v>0.418346</v>
      </c>
    </row>
    <row r="211" spans="3:4">
      <c r="C211" s="13" t="s">
        <v>105</v>
      </c>
      <c r="D211" s="13">
        <v>0.60187390000000007</v>
      </c>
    </row>
    <row r="212" spans="3:4">
      <c r="C212" s="13" t="s">
        <v>106</v>
      </c>
      <c r="D212" s="13">
        <v>0.52002650000000006</v>
      </c>
    </row>
    <row r="213" spans="3:4">
      <c r="C213" s="13" t="s">
        <v>107</v>
      </c>
      <c r="D213" s="13">
        <v>0.31749050000000001</v>
      </c>
    </row>
    <row r="214" spans="3:4">
      <c r="C214" s="13" t="s">
        <v>193</v>
      </c>
      <c r="D214" s="13">
        <v>0.53319550000000004</v>
      </c>
    </row>
    <row r="215" spans="3:4">
      <c r="C215" s="13" t="s">
        <v>108</v>
      </c>
      <c r="D215" s="13">
        <v>0.464337</v>
      </c>
    </row>
    <row r="216" spans="3:4">
      <c r="C216" s="13" t="s">
        <v>109</v>
      </c>
      <c r="D216" s="13">
        <v>0.64291679999999995</v>
      </c>
    </row>
    <row r="217" spans="3:4">
      <c r="C217" s="13" t="s">
        <v>110</v>
      </c>
      <c r="D217" s="13">
        <v>7.9160999999999995E-2</v>
      </c>
    </row>
    <row r="218" spans="3:4">
      <c r="C218" s="13" t="s">
        <v>111</v>
      </c>
      <c r="D218" s="13">
        <v>0.16738810000000001</v>
      </c>
    </row>
    <row r="219" spans="3:4">
      <c r="C219" s="13" t="s">
        <v>112</v>
      </c>
      <c r="D219" s="13">
        <v>0.69464970000000004</v>
      </c>
    </row>
    <row r="220" spans="3:4">
      <c r="C220" s="13" t="s">
        <v>113</v>
      </c>
      <c r="D220" s="13">
        <v>0.87882860000000007</v>
      </c>
    </row>
    <row r="221" spans="3:4">
      <c r="C221" s="13" t="s">
        <v>114</v>
      </c>
      <c r="D221" s="13">
        <v>0.13948199999999999</v>
      </c>
    </row>
    <row r="222" spans="3:4">
      <c r="C222" s="13" t="s">
        <v>115</v>
      </c>
      <c r="D222" s="13">
        <v>0.32604700000000003</v>
      </c>
    </row>
    <row r="223" spans="3:4">
      <c r="C223" s="13" t="s">
        <v>194</v>
      </c>
      <c r="D223" s="13">
        <v>0.61890590000000001</v>
      </c>
    </row>
    <row r="224" spans="3:4">
      <c r="C224" s="13" t="s">
        <v>116</v>
      </c>
      <c r="D224" s="13">
        <v>0.6553582</v>
      </c>
    </row>
    <row r="225" spans="3:4">
      <c r="C225" s="13" t="s">
        <v>117</v>
      </c>
      <c r="D225" s="13">
        <v>0.83408540000000009</v>
      </c>
    </row>
    <row r="226" spans="3:4">
      <c r="C226" s="13" t="s">
        <v>118</v>
      </c>
      <c r="D226" s="13">
        <v>0.54128500000000002</v>
      </c>
    </row>
    <row r="227" spans="3:4">
      <c r="C227" s="13" t="s">
        <v>141</v>
      </c>
      <c r="D227" s="13">
        <v>0.47556799999999999</v>
      </c>
    </row>
    <row r="228" spans="3:4">
      <c r="C228" s="13" t="s">
        <v>119</v>
      </c>
      <c r="D228" s="13">
        <v>0.52330999999999994</v>
      </c>
    </row>
    <row r="229" spans="3:4">
      <c r="C229" s="13" t="s">
        <v>120</v>
      </c>
      <c r="D229" s="13">
        <v>0.70790120000000001</v>
      </c>
    </row>
    <row r="230" spans="3:4">
      <c r="C230" s="13" t="s">
        <v>121</v>
      </c>
      <c r="D230" s="13">
        <v>1.0178000000000001E-3</v>
      </c>
    </row>
    <row r="231" spans="3:4">
      <c r="C231" s="13" t="s">
        <v>122</v>
      </c>
      <c r="D231" s="13">
        <v>0.3382211</v>
      </c>
    </row>
    <row r="232" spans="3:4">
      <c r="C232" s="13" t="s">
        <v>123</v>
      </c>
      <c r="D232" s="13">
        <v>7.5646900000000003E-2</v>
      </c>
    </row>
    <row r="233" spans="3:4">
      <c r="C233" s="13" t="s">
        <v>124</v>
      </c>
      <c r="D233" s="13">
        <v>3.7995999999999998E-3</v>
      </c>
    </row>
    <row r="234" spans="3:4">
      <c r="C234" s="13" t="s">
        <v>125</v>
      </c>
      <c r="D234" s="13">
        <v>0.39431499999999997</v>
      </c>
    </row>
    <row r="235" spans="3:4">
      <c r="C235" s="13" t="s">
        <v>126</v>
      </c>
      <c r="D235" s="13">
        <v>0.7170685</v>
      </c>
    </row>
    <row r="236" spans="3:4">
      <c r="C236" s="13" t="s">
        <v>127</v>
      </c>
      <c r="D236" s="13">
        <v>0.30910000000000004</v>
      </c>
    </row>
    <row r="237" spans="3:4">
      <c r="C237" s="13" t="s">
        <v>128</v>
      </c>
      <c r="D237" s="13">
        <v>0.54976369999999997</v>
      </c>
    </row>
    <row r="238" spans="3:4">
      <c r="C238" s="13" t="s">
        <v>129</v>
      </c>
      <c r="D238" s="13">
        <v>0.38613780000000003</v>
      </c>
    </row>
    <row r="239" spans="3:4">
      <c r="C239" s="13" t="s">
        <v>130</v>
      </c>
      <c r="D239" s="13">
        <v>6.8669999999999998E-3</v>
      </c>
    </row>
    <row r="240" spans="3:4">
      <c r="C240" s="13" t="s">
        <v>131</v>
      </c>
      <c r="D240" s="13">
        <v>0.85611270000000006</v>
      </c>
    </row>
    <row r="241" spans="3:4">
      <c r="C241" s="13" t="s">
        <v>132</v>
      </c>
      <c r="D241" s="13">
        <v>0.41280820000000001</v>
      </c>
    </row>
    <row r="242" spans="3:4">
      <c r="C242" s="13" t="s">
        <v>133</v>
      </c>
      <c r="D242" s="13">
        <v>0.22884389999999999</v>
      </c>
    </row>
    <row r="243" spans="3:4">
      <c r="C243" s="13" t="s">
        <v>134</v>
      </c>
      <c r="D243" s="13">
        <v>0</v>
      </c>
    </row>
    <row r="244" spans="3:4">
      <c r="C244" s="13" t="s">
        <v>136</v>
      </c>
      <c r="D244" s="13">
        <v>0.17232349999999999</v>
      </c>
    </row>
    <row r="245" spans="3:4">
      <c r="C245" s="13" t="s">
        <v>137</v>
      </c>
      <c r="D245" s="13">
        <v>0.43500610000000001</v>
      </c>
    </row>
    <row r="246" spans="3:4">
      <c r="C246" s="13" t="s">
        <v>138</v>
      </c>
      <c r="D246" s="13">
        <v>0.65864999999999996</v>
      </c>
    </row>
    <row r="247" spans="3:4">
      <c r="C247" s="13" t="s">
        <v>139</v>
      </c>
      <c r="D247" s="13">
        <v>0.41642399999999996</v>
      </c>
    </row>
    <row r="248" spans="3:4">
      <c r="C248" s="13" t="s">
        <v>140</v>
      </c>
      <c r="D248" s="13">
        <v>0.62571410000000005</v>
      </c>
    </row>
    <row r="249" spans="3:4">
      <c r="C249" s="13" t="s">
        <v>142</v>
      </c>
      <c r="D249" s="13">
        <v>0.42860500000000001</v>
      </c>
    </row>
    <row r="250" spans="3:4">
      <c r="C250" s="13" t="s">
        <v>143</v>
      </c>
      <c r="D250" s="13">
        <v>0.32856540000000001</v>
      </c>
    </row>
    <row r="251" spans="3:4">
      <c r="C251" s="13" t="s">
        <v>144</v>
      </c>
      <c r="D251" s="13">
        <v>0.75537339999999997</v>
      </c>
    </row>
    <row r="252" spans="3:4">
      <c r="C252" s="13" t="s">
        <v>145</v>
      </c>
      <c r="D252" s="13">
        <v>0.72589490000000001</v>
      </c>
    </row>
    <row r="253" spans="3:4">
      <c r="C253" s="13" t="s">
        <v>146</v>
      </c>
      <c r="D253" s="13">
        <v>0.71559110000000004</v>
      </c>
    </row>
    <row r="254" spans="3:4">
      <c r="C254" s="13" t="s">
        <v>147</v>
      </c>
      <c r="D254" s="13">
        <v>0.53605859999999994</v>
      </c>
    </row>
    <row r="255" spans="3:4">
      <c r="C255" s="13" t="s">
        <v>148</v>
      </c>
      <c r="D255" s="13">
        <v>0.223412</v>
      </c>
    </row>
    <row r="256" spans="3:4">
      <c r="C256" s="13" t="s">
        <v>195</v>
      </c>
      <c r="D256" s="13">
        <v>0.33175889999999997</v>
      </c>
    </row>
    <row r="257" spans="3:4">
      <c r="C257" s="13" t="s">
        <v>150</v>
      </c>
      <c r="D257" s="13">
        <v>0.86899959999999998</v>
      </c>
    </row>
    <row r="258" spans="3:4">
      <c r="C258" s="13" t="s">
        <v>151</v>
      </c>
      <c r="D258" s="13">
        <v>0.34979399999999999</v>
      </c>
    </row>
    <row r="259" spans="3:4">
      <c r="C259" s="13" t="s">
        <v>152</v>
      </c>
      <c r="D259" s="13">
        <v>0.31372440000000001</v>
      </c>
    </row>
    <row r="260" spans="3:4">
      <c r="C260" s="13" t="s">
        <v>153</v>
      </c>
      <c r="D260" s="13">
        <v>0.61391830000000003</v>
      </c>
    </row>
    <row r="261" spans="3:4">
      <c r="C261" s="13" t="s">
        <v>154</v>
      </c>
      <c r="D261" s="13">
        <v>4.7966000000000002E-2</v>
      </c>
    </row>
    <row r="262" spans="3:4">
      <c r="C262" s="13" t="s">
        <v>155</v>
      </c>
      <c r="D262" s="13">
        <v>2.5722999999999999E-2</v>
      </c>
    </row>
    <row r="263" spans="3:4">
      <c r="C263" s="13" t="s">
        <v>156</v>
      </c>
      <c r="D263" s="13">
        <v>0.60439919999999991</v>
      </c>
    </row>
    <row r="264" spans="3:4">
      <c r="C264" s="13" t="s">
        <v>157</v>
      </c>
      <c r="D264" s="13">
        <v>2.8018299999999999E-2</v>
      </c>
    </row>
    <row r="265" spans="3:4">
      <c r="C265" s="13" t="s">
        <v>167</v>
      </c>
      <c r="D265" s="13">
        <v>0.31551220000000002</v>
      </c>
    </row>
    <row r="266" spans="3:4">
      <c r="C266" s="13" t="s">
        <v>158</v>
      </c>
      <c r="D266" s="13">
        <v>0.5109283</v>
      </c>
    </row>
    <row r="267" spans="3:4">
      <c r="C267" s="13" t="s">
        <v>159</v>
      </c>
      <c r="D267" s="13">
        <v>0.45866969999999996</v>
      </c>
    </row>
    <row r="268" spans="3:4">
      <c r="C268" s="13" t="s">
        <v>160</v>
      </c>
      <c r="D268" s="13">
        <v>0.7243096</v>
      </c>
    </row>
    <row r="269" spans="3:4">
      <c r="C269" s="13" t="s">
        <v>161</v>
      </c>
      <c r="D269" s="13">
        <v>0.54585859999999997</v>
      </c>
    </row>
    <row r="270" spans="3:4">
      <c r="C270" s="13" t="s">
        <v>162</v>
      </c>
      <c r="D270" s="13">
        <v>0.438222</v>
      </c>
    </row>
    <row r="271" spans="3:4">
      <c r="C271" s="13" t="s">
        <v>163</v>
      </c>
      <c r="D271" s="13">
        <v>0.79513040000000001</v>
      </c>
    </row>
    <row r="272" spans="3:4">
      <c r="C272" s="13" t="s">
        <v>164</v>
      </c>
      <c r="D272" s="13">
        <v>0.34432879999999999</v>
      </c>
    </row>
    <row r="273" spans="3:4">
      <c r="C273" s="13" t="s">
        <v>165</v>
      </c>
      <c r="D273" s="13">
        <v>0.81998559999999998</v>
      </c>
    </row>
    <row r="274" spans="3:4">
      <c r="C274" s="13" t="s">
        <v>166</v>
      </c>
      <c r="D274" s="13">
        <v>0.50473299999999999</v>
      </c>
    </row>
    <row r="275" spans="3:4">
      <c r="C275" s="13" t="s">
        <v>168</v>
      </c>
      <c r="D275" s="13">
        <v>0.55865999999999993</v>
      </c>
    </row>
    <row r="276" spans="3:4">
      <c r="C276" s="13" t="s">
        <v>169</v>
      </c>
      <c r="D276" s="13">
        <v>0.2963499</v>
      </c>
    </row>
    <row r="277" spans="3:4">
      <c r="C277" s="13" t="s">
        <v>170</v>
      </c>
      <c r="D277" s="13">
        <v>0.44636000000000003</v>
      </c>
    </row>
    <row r="278" spans="3:4">
      <c r="C278" s="13" t="s">
        <v>171</v>
      </c>
      <c r="D278" s="13">
        <v>0.20844220000000002</v>
      </c>
    </row>
    <row r="279" spans="3:4">
      <c r="C279" s="13" t="s">
        <v>172</v>
      </c>
      <c r="D279" s="13">
        <v>0.39631379999999999</v>
      </c>
    </row>
    <row r="280" spans="3:4">
      <c r="C280" s="13" t="s">
        <v>173</v>
      </c>
      <c r="D280" s="13">
        <v>0.82303110000000002</v>
      </c>
    </row>
    <row r="281" spans="3:4">
      <c r="C281" s="13" t="s">
        <v>174</v>
      </c>
      <c r="D281" s="13">
        <v>6.7573999999999993E-3</v>
      </c>
    </row>
    <row r="282" spans="3:4">
      <c r="C282" s="13" t="s">
        <v>175</v>
      </c>
      <c r="D282" s="13">
        <v>0.57276890000000003</v>
      </c>
    </row>
    <row r="283" spans="3:4">
      <c r="C283" s="13" t="s">
        <v>176</v>
      </c>
      <c r="D283" s="13">
        <v>0.48861130000000003</v>
      </c>
    </row>
    <row r="284" spans="3:4">
      <c r="C284" s="13" t="s">
        <v>178</v>
      </c>
      <c r="D284" s="13">
        <v>0.50899280000000002</v>
      </c>
    </row>
    <row r="285" spans="3:4">
      <c r="C285" s="13" t="s">
        <v>177</v>
      </c>
      <c r="D285" s="13">
        <v>0.3078166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zoomScale="70" zoomScaleNormal="70" workbookViewId="0">
      <selection activeCell="G72" sqref="G72"/>
    </sheetView>
  </sheetViews>
  <sheetFormatPr defaultColWidth="0" defaultRowHeight="0" customHeight="1" zeroHeight="1"/>
  <cols>
    <col min="1" max="1" width="3.28515625" style="13" customWidth="1"/>
    <col min="2" max="2" width="36.5703125" style="13" customWidth="1"/>
    <col min="3" max="3" width="7.140625" style="13" customWidth="1"/>
    <col min="4" max="4" width="19.28515625" style="13" customWidth="1"/>
    <col min="5" max="5" width="18.28515625" style="13" customWidth="1"/>
    <col min="6" max="6" width="60" style="13" customWidth="1"/>
    <col min="7" max="7" width="21" style="13" customWidth="1"/>
    <col min="8" max="11" width="0" style="13" hidden="1" customWidth="1"/>
    <col min="12" max="15" width="9.140625" style="13" hidden="1" customWidth="1"/>
    <col min="16" max="16384" width="9.140625" style="13" hidden="1"/>
  </cols>
  <sheetData>
    <row r="1" spans="2:6" ht="14.25"/>
    <row r="2" spans="2:6" s="16" customFormat="1" ht="27.75">
      <c r="B2" s="15" t="s">
        <v>876</v>
      </c>
      <c r="C2" s="15"/>
    </row>
    <row r="3" spans="2:6" ht="14.25"/>
    <row r="4" spans="2:6" ht="14.25"/>
    <row r="5" spans="2:6" ht="14.25"/>
    <row r="6" spans="2:6" ht="14.25"/>
    <row r="7" spans="2:6" ht="27.75" customHeight="1">
      <c r="B7" s="407" t="s">
        <v>822</v>
      </c>
      <c r="C7" s="408"/>
      <c r="D7" s="408"/>
      <c r="E7" s="408"/>
      <c r="F7" s="408"/>
    </row>
    <row r="8" spans="2:6" ht="14.25">
      <c r="B8" s="19"/>
      <c r="C8" s="19"/>
    </row>
    <row r="9" spans="2:6" ht="15">
      <c r="B9" s="405" t="s">
        <v>863</v>
      </c>
      <c r="C9" s="406"/>
      <c r="D9" s="406"/>
      <c r="E9" s="406"/>
      <c r="F9" s="406"/>
    </row>
    <row r="10" spans="2:6" ht="14.25">
      <c r="B10" s="19"/>
      <c r="C10" s="19"/>
    </row>
    <row r="11" spans="2:6" ht="27.75" customHeight="1">
      <c r="B11" s="407" t="s">
        <v>848</v>
      </c>
      <c r="C11" s="408"/>
      <c r="D11" s="408"/>
      <c r="E11" s="408"/>
      <c r="F11" s="408"/>
    </row>
    <row r="12" spans="2:6" ht="34.5" customHeight="1">
      <c r="B12" s="409" t="s">
        <v>849</v>
      </c>
      <c r="C12" s="410"/>
      <c r="D12" s="410"/>
      <c r="E12" s="410"/>
      <c r="F12" s="410"/>
    </row>
    <row r="13" spans="2:6" ht="30" customHeight="1">
      <c r="B13" s="407" t="s">
        <v>828</v>
      </c>
      <c r="C13" s="408"/>
      <c r="D13" s="408"/>
      <c r="E13" s="408"/>
      <c r="F13" s="408"/>
    </row>
    <row r="14" spans="2:6" ht="36.75" customHeight="1">
      <c r="B14" s="407" t="s">
        <v>850</v>
      </c>
      <c r="C14" s="408"/>
      <c r="D14" s="408"/>
      <c r="E14" s="408"/>
      <c r="F14" s="408"/>
    </row>
    <row r="15" spans="2:6" ht="22.5" customHeight="1">
      <c r="B15" s="407" t="s">
        <v>851</v>
      </c>
      <c r="C15" s="408"/>
      <c r="D15" s="408"/>
      <c r="E15" s="408"/>
      <c r="F15" s="408"/>
    </row>
    <row r="16" spans="2:6" ht="21.75" customHeight="1">
      <c r="B16" s="407" t="s">
        <v>829</v>
      </c>
      <c r="C16" s="408"/>
      <c r="D16" s="408"/>
      <c r="E16" s="408"/>
      <c r="F16" s="408"/>
    </row>
    <row r="17" spans="2:6" ht="21.75" customHeight="1">
      <c r="B17" s="407" t="s">
        <v>830</v>
      </c>
      <c r="C17" s="408"/>
      <c r="D17" s="408"/>
      <c r="E17" s="408"/>
      <c r="F17" s="408"/>
    </row>
    <row r="18" spans="2:6" ht="45.75" customHeight="1">
      <c r="B18" s="409" t="s">
        <v>852</v>
      </c>
      <c r="C18" s="410"/>
      <c r="D18" s="410"/>
      <c r="E18" s="410"/>
      <c r="F18" s="410"/>
    </row>
    <row r="19" spans="2:6" ht="63.75" customHeight="1">
      <c r="B19" s="407" t="s">
        <v>855</v>
      </c>
      <c r="C19" s="408"/>
      <c r="D19" s="408"/>
      <c r="E19" s="408"/>
      <c r="F19" s="408"/>
    </row>
    <row r="20" spans="2:6" ht="99.75" customHeight="1">
      <c r="B20" s="407" t="s">
        <v>854</v>
      </c>
      <c r="C20" s="408"/>
      <c r="D20" s="408"/>
      <c r="E20" s="408"/>
      <c r="F20" s="408"/>
    </row>
    <row r="21" spans="2:6" ht="204.75" customHeight="1">
      <c r="B21" s="407" t="s">
        <v>853</v>
      </c>
      <c r="C21" s="408"/>
      <c r="D21" s="408"/>
      <c r="E21" s="408"/>
      <c r="F21" s="408"/>
    </row>
    <row r="22" spans="2:6" ht="14.25">
      <c r="B22" s="19"/>
      <c r="C22" s="19"/>
    </row>
    <row r="23" spans="2:6" ht="31.5" customHeight="1">
      <c r="B23" s="411" t="s">
        <v>856</v>
      </c>
      <c r="C23" s="408"/>
      <c r="D23" s="408"/>
      <c r="E23" s="408"/>
      <c r="F23" s="408"/>
    </row>
    <row r="24" spans="2:6" ht="14.25">
      <c r="B24" s="19"/>
      <c r="C24" s="19"/>
    </row>
    <row r="25" spans="2:6" s="40" customFormat="1" ht="59.25" customHeight="1">
      <c r="B25" s="412" t="s">
        <v>857</v>
      </c>
      <c r="C25" s="413"/>
      <c r="D25" s="413"/>
      <c r="E25" s="413"/>
      <c r="F25" s="413"/>
    </row>
    <row r="26" spans="2:6" ht="14.25">
      <c r="B26" s="19"/>
      <c r="C26" s="19"/>
    </row>
    <row r="27" spans="2:6" ht="14.25">
      <c r="B27" s="19"/>
      <c r="C27" s="19"/>
    </row>
    <row r="28" spans="2:6" ht="14.25">
      <c r="B28" s="19"/>
      <c r="C28" s="19"/>
    </row>
    <row r="29" spans="2:6" ht="15">
      <c r="B29" s="405" t="s">
        <v>695</v>
      </c>
      <c r="C29" s="406"/>
      <c r="D29" s="406"/>
      <c r="E29" s="406"/>
      <c r="F29" s="406"/>
    </row>
    <row r="30" spans="2:6" ht="51" customHeight="1">
      <c r="B30" s="407" t="s">
        <v>647</v>
      </c>
      <c r="C30" s="408"/>
      <c r="D30" s="408"/>
      <c r="E30" s="408"/>
      <c r="F30" s="408"/>
    </row>
    <row r="31" spans="2:6" ht="14.25">
      <c r="B31" s="19"/>
      <c r="C31" s="19"/>
      <c r="D31" s="19"/>
      <c r="E31" s="19"/>
      <c r="F31" s="19"/>
    </row>
    <row r="32" spans="2:6" ht="14.25">
      <c r="B32" s="19"/>
      <c r="C32" s="19"/>
      <c r="D32" s="27"/>
      <c r="E32" s="28" t="s">
        <v>648</v>
      </c>
      <c r="F32" s="29" t="s">
        <v>649</v>
      </c>
    </row>
    <row r="33" spans="2:6" ht="15">
      <c r="B33" s="19"/>
      <c r="C33" s="19"/>
      <c r="D33" s="30" t="s">
        <v>628</v>
      </c>
      <c r="E33" s="31"/>
      <c r="F33" s="32"/>
    </row>
    <row r="34" spans="2:6" ht="14.25">
      <c r="B34" s="19"/>
      <c r="C34" s="19"/>
      <c r="D34" s="33" t="s">
        <v>650</v>
      </c>
      <c r="E34" s="31" t="s">
        <v>651</v>
      </c>
      <c r="F34" s="32" t="s">
        <v>652</v>
      </c>
    </row>
    <row r="35" spans="2:6" ht="14.25">
      <c r="D35" s="33" t="s">
        <v>653</v>
      </c>
      <c r="E35" s="31" t="s">
        <v>654</v>
      </c>
      <c r="F35" s="32" t="s">
        <v>655</v>
      </c>
    </row>
    <row r="36" spans="2:6" ht="14.25">
      <c r="B36" s="19"/>
      <c r="C36" s="19"/>
      <c r="D36" s="33" t="s">
        <v>656</v>
      </c>
      <c r="E36" s="31" t="s">
        <v>654</v>
      </c>
      <c r="F36" s="32" t="s">
        <v>657</v>
      </c>
    </row>
    <row r="37" spans="2:6" ht="14.25">
      <c r="B37" s="19"/>
      <c r="C37" s="19"/>
      <c r="D37" s="33" t="s">
        <v>658</v>
      </c>
      <c r="E37" s="31" t="s">
        <v>659</v>
      </c>
      <c r="F37" s="32" t="s">
        <v>660</v>
      </c>
    </row>
    <row r="38" spans="2:6" ht="14.25">
      <c r="B38" s="19"/>
      <c r="C38" s="19"/>
      <c r="D38" s="33" t="s">
        <v>661</v>
      </c>
      <c r="E38" s="31" t="s">
        <v>662</v>
      </c>
      <c r="F38" s="32" t="s">
        <v>663</v>
      </c>
    </row>
    <row r="39" spans="2:6" ht="14.25">
      <c r="B39" s="19"/>
      <c r="C39" s="19"/>
      <c r="D39" s="33"/>
      <c r="E39" s="31"/>
      <c r="F39" s="32"/>
    </row>
    <row r="40" spans="2:6" ht="15">
      <c r="B40" s="19"/>
      <c r="C40" s="19"/>
      <c r="D40" s="30" t="s">
        <v>597</v>
      </c>
      <c r="E40" s="31"/>
      <c r="F40" s="32"/>
    </row>
    <row r="41" spans="2:6" ht="14.25">
      <c r="B41" s="19"/>
      <c r="C41" s="19"/>
      <c r="D41" s="33" t="s">
        <v>661</v>
      </c>
      <c r="E41" s="31" t="s">
        <v>662</v>
      </c>
      <c r="F41" s="32" t="s">
        <v>664</v>
      </c>
    </row>
    <row r="42" spans="2:6" ht="14.25">
      <c r="B42" s="19"/>
      <c r="C42" s="19"/>
      <c r="D42" s="33" t="s">
        <v>650</v>
      </c>
      <c r="E42" s="31" t="s">
        <v>651</v>
      </c>
      <c r="F42" s="32" t="s">
        <v>665</v>
      </c>
    </row>
    <row r="43" spans="2:6" ht="14.25">
      <c r="B43" s="19"/>
      <c r="C43" s="19"/>
      <c r="D43" s="33" t="s">
        <v>666</v>
      </c>
      <c r="E43" s="31" t="s">
        <v>667</v>
      </c>
      <c r="F43" s="32" t="s">
        <v>668</v>
      </c>
    </row>
    <row r="44" spans="2:6" ht="14.25">
      <c r="B44" s="19"/>
      <c r="C44" s="19"/>
      <c r="D44" s="33" t="s">
        <v>653</v>
      </c>
      <c r="E44" s="31" t="s">
        <v>654</v>
      </c>
      <c r="F44" s="32" t="s">
        <v>668</v>
      </c>
    </row>
    <row r="45" spans="2:6" ht="14.25">
      <c r="B45" s="19"/>
      <c r="C45" s="19"/>
      <c r="D45" s="33"/>
      <c r="E45" s="31"/>
      <c r="F45" s="32"/>
    </row>
    <row r="46" spans="2:6" ht="15">
      <c r="B46" s="19"/>
      <c r="C46" s="19"/>
      <c r="D46" s="30" t="s">
        <v>596</v>
      </c>
      <c r="E46" s="31"/>
      <c r="F46" s="32"/>
    </row>
    <row r="47" spans="2:6" ht="14.25">
      <c r="B47" s="19"/>
      <c r="C47" s="19"/>
      <c r="D47" s="33" t="s">
        <v>661</v>
      </c>
      <c r="E47" s="31" t="s">
        <v>662</v>
      </c>
      <c r="F47" s="32" t="s">
        <v>669</v>
      </c>
    </row>
    <row r="48" spans="2:6" ht="14.25">
      <c r="B48" s="19"/>
      <c r="C48" s="19"/>
      <c r="D48" s="33" t="s">
        <v>650</v>
      </c>
      <c r="E48" s="31" t="s">
        <v>651</v>
      </c>
      <c r="F48" s="32" t="s">
        <v>670</v>
      </c>
    </row>
    <row r="49" spans="2:6" ht="14.25">
      <c r="B49" s="19"/>
      <c r="C49" s="19"/>
      <c r="D49" s="33" t="s">
        <v>671</v>
      </c>
      <c r="E49" s="31" t="s">
        <v>672</v>
      </c>
      <c r="F49" s="32" t="s">
        <v>673</v>
      </c>
    </row>
    <row r="50" spans="2:6" ht="14.25">
      <c r="B50" s="19"/>
      <c r="C50" s="19"/>
      <c r="D50" s="33"/>
      <c r="E50" s="31"/>
      <c r="F50" s="32"/>
    </row>
    <row r="51" spans="2:6" ht="15">
      <c r="B51" s="19"/>
      <c r="C51" s="19"/>
      <c r="D51" s="30" t="s">
        <v>595</v>
      </c>
      <c r="E51" s="31"/>
      <c r="F51" s="32"/>
    </row>
    <row r="52" spans="2:6" ht="14.25">
      <c r="B52" s="19"/>
      <c r="C52" s="19"/>
      <c r="D52" s="33" t="s">
        <v>661</v>
      </c>
      <c r="E52" s="31" t="s">
        <v>662</v>
      </c>
      <c r="F52" s="32" t="s">
        <v>674</v>
      </c>
    </row>
    <row r="53" spans="2:6" ht="14.25">
      <c r="B53" s="19"/>
      <c r="C53" s="19"/>
      <c r="D53" s="33" t="s">
        <v>671</v>
      </c>
      <c r="E53" s="31" t="s">
        <v>672</v>
      </c>
      <c r="F53" s="32" t="s">
        <v>675</v>
      </c>
    </row>
    <row r="54" spans="2:6" ht="14.25">
      <c r="B54" s="19"/>
      <c r="C54" s="19"/>
      <c r="D54" s="33" t="s">
        <v>676</v>
      </c>
      <c r="E54" s="31" t="s">
        <v>677</v>
      </c>
      <c r="F54" s="32" t="s">
        <v>673</v>
      </c>
    </row>
    <row r="55" spans="2:6" ht="14.25">
      <c r="B55" s="19"/>
      <c r="C55" s="19"/>
      <c r="D55" s="33" t="s">
        <v>653</v>
      </c>
      <c r="E55" s="31" t="s">
        <v>654</v>
      </c>
      <c r="F55" s="32" t="s">
        <v>678</v>
      </c>
    </row>
    <row r="56" spans="2:6" ht="14.25">
      <c r="B56" s="19"/>
      <c r="C56" s="19"/>
      <c r="D56" s="33" t="s">
        <v>658</v>
      </c>
      <c r="E56" s="31" t="s">
        <v>679</v>
      </c>
      <c r="F56" s="32" t="s">
        <v>678</v>
      </c>
    </row>
    <row r="57" spans="2:6" ht="14.25">
      <c r="B57" s="19"/>
      <c r="C57" s="19"/>
      <c r="D57" s="33" t="s">
        <v>680</v>
      </c>
      <c r="E57" s="31" t="s">
        <v>667</v>
      </c>
      <c r="F57" s="32" t="s">
        <v>681</v>
      </c>
    </row>
    <row r="58" spans="2:6" ht="14.25">
      <c r="B58" s="19"/>
      <c r="C58" s="19"/>
      <c r="D58" s="33"/>
      <c r="E58" s="31"/>
      <c r="F58" s="32"/>
    </row>
    <row r="59" spans="2:6" ht="15">
      <c r="B59" s="19"/>
      <c r="C59" s="19"/>
      <c r="D59" s="30" t="s">
        <v>630</v>
      </c>
      <c r="E59" s="31"/>
      <c r="F59" s="32"/>
    </row>
    <row r="60" spans="2:6" ht="14.25">
      <c r="B60" s="19"/>
      <c r="C60" s="19"/>
      <c r="D60" s="33" t="s">
        <v>661</v>
      </c>
      <c r="E60" s="31" t="s">
        <v>662</v>
      </c>
      <c r="F60" s="32" t="s">
        <v>682</v>
      </c>
    </row>
    <row r="61" spans="2:6" ht="14.25">
      <c r="B61" s="19"/>
      <c r="C61" s="19"/>
      <c r="D61" s="33" t="s">
        <v>671</v>
      </c>
      <c r="E61" s="31" t="s">
        <v>672</v>
      </c>
      <c r="F61" s="32" t="s">
        <v>683</v>
      </c>
    </row>
    <row r="62" spans="2:6" ht="14.25">
      <c r="B62" s="19"/>
      <c r="C62" s="19"/>
      <c r="D62" s="34" t="s">
        <v>650</v>
      </c>
      <c r="E62" s="35" t="s">
        <v>651</v>
      </c>
      <c r="F62" s="36" t="s">
        <v>684</v>
      </c>
    </row>
    <row r="63" spans="2:6" ht="14.25">
      <c r="B63" s="19"/>
      <c r="C63" s="19"/>
    </row>
    <row r="64" spans="2:6" ht="14.25">
      <c r="B64" s="19"/>
      <c r="C64" s="19"/>
    </row>
    <row r="65" spans="2:6" ht="29.25" customHeight="1">
      <c r="B65" s="405" t="s">
        <v>840</v>
      </c>
      <c r="C65" s="406"/>
      <c r="D65" s="406"/>
      <c r="E65" s="406"/>
      <c r="F65" s="406"/>
    </row>
    <row r="66" spans="2:6" ht="14.25">
      <c r="B66" s="407"/>
      <c r="C66" s="408"/>
      <c r="D66" s="408"/>
      <c r="E66" s="408"/>
      <c r="F66" s="408"/>
    </row>
    <row r="67" spans="2:6" ht="14.25">
      <c r="B67" s="19"/>
      <c r="C67" s="19"/>
    </row>
    <row r="68" spans="2:6" ht="15">
      <c r="B68" s="19"/>
      <c r="C68" s="19"/>
      <c r="D68" s="37" t="s">
        <v>685</v>
      </c>
      <c r="E68" s="38"/>
    </row>
    <row r="69" spans="2:6" ht="14.25">
      <c r="B69" s="19"/>
      <c r="C69" s="19"/>
      <c r="D69" s="33" t="s">
        <v>686</v>
      </c>
      <c r="E69" s="32"/>
    </row>
    <row r="70" spans="2:6" ht="14.25">
      <c r="B70" s="19"/>
      <c r="C70" s="19"/>
      <c r="D70" s="33" t="s">
        <v>687</v>
      </c>
      <c r="E70" s="32"/>
    </row>
    <row r="71" spans="2:6" ht="14.25">
      <c r="B71" s="19"/>
      <c r="C71" s="19"/>
      <c r="D71" s="33" t="s">
        <v>688</v>
      </c>
      <c r="E71" s="32"/>
    </row>
    <row r="72" spans="2:6" ht="14.25">
      <c r="B72" s="19"/>
      <c r="C72" s="19"/>
      <c r="D72" s="33" t="s">
        <v>689</v>
      </c>
      <c r="E72" s="32"/>
    </row>
    <row r="73" spans="2:6" ht="14.25">
      <c r="B73" s="19"/>
      <c r="C73" s="19"/>
      <c r="D73" s="33" t="s">
        <v>690</v>
      </c>
      <c r="E73" s="32"/>
    </row>
    <row r="74" spans="2:6" ht="14.25">
      <c r="B74" s="19"/>
      <c r="C74" s="19"/>
      <c r="D74" s="33" t="s">
        <v>691</v>
      </c>
      <c r="E74" s="32"/>
    </row>
    <row r="75" spans="2:6" ht="14.25">
      <c r="B75" s="19"/>
      <c r="C75" s="19"/>
      <c r="D75" s="33" t="s">
        <v>831</v>
      </c>
      <c r="E75" s="32"/>
    </row>
    <row r="76" spans="2:6" ht="14.25">
      <c r="B76" s="19"/>
      <c r="C76" s="19"/>
      <c r="D76" s="33" t="s">
        <v>832</v>
      </c>
      <c r="E76" s="32"/>
    </row>
    <row r="77" spans="2:6" ht="14.25">
      <c r="B77" s="19"/>
      <c r="C77" s="19"/>
      <c r="D77" s="33"/>
      <c r="E77" s="32"/>
    </row>
    <row r="78" spans="2:6" ht="15">
      <c r="B78" s="19"/>
      <c r="C78" s="19"/>
      <c r="D78" s="39" t="s">
        <v>950</v>
      </c>
      <c r="E78" s="32"/>
    </row>
    <row r="79" spans="2:6" ht="14.25">
      <c r="B79" s="19"/>
      <c r="C79" s="19"/>
      <c r="D79" s="33" t="s">
        <v>693</v>
      </c>
      <c r="E79" s="32"/>
    </row>
    <row r="80" spans="2:6" ht="14.25">
      <c r="B80" s="19"/>
      <c r="C80" s="19"/>
      <c r="D80" s="33" t="s">
        <v>694</v>
      </c>
      <c r="E80" s="32"/>
    </row>
    <row r="81" spans="1:5" ht="14.25">
      <c r="B81" s="19"/>
      <c r="C81" s="19"/>
      <c r="D81" s="33" t="s">
        <v>847</v>
      </c>
      <c r="E81" s="32"/>
    </row>
    <row r="82" spans="1:5" ht="14.25">
      <c r="B82" s="19"/>
      <c r="C82" s="19"/>
      <c r="D82" s="33"/>
      <c r="E82" s="32"/>
    </row>
    <row r="83" spans="1:5" ht="15">
      <c r="B83" s="19"/>
      <c r="C83" s="19"/>
      <c r="D83" s="39" t="s">
        <v>835</v>
      </c>
      <c r="E83" s="32"/>
    </row>
    <row r="84" spans="1:5" ht="14.25">
      <c r="B84" s="19"/>
      <c r="C84" s="19"/>
      <c r="D84" s="33" t="s">
        <v>836</v>
      </c>
      <c r="E84" s="32"/>
    </row>
    <row r="85" spans="1:5" ht="14.25">
      <c r="A85" s="13" t="s">
        <v>785</v>
      </c>
      <c r="B85" s="19"/>
      <c r="C85" s="19"/>
      <c r="D85" s="33" t="s">
        <v>837</v>
      </c>
      <c r="E85" s="32"/>
    </row>
    <row r="86" spans="1:5" ht="14.25">
      <c r="B86" s="19"/>
      <c r="C86" s="19"/>
      <c r="D86" s="33" t="s">
        <v>838</v>
      </c>
      <c r="E86" s="32"/>
    </row>
    <row r="87" spans="1:5" ht="14.25">
      <c r="B87" s="19"/>
      <c r="C87" s="19"/>
      <c r="D87" s="33"/>
      <c r="E87" s="32"/>
    </row>
    <row r="88" spans="1:5" ht="15">
      <c r="B88" s="19"/>
      <c r="C88" s="19"/>
      <c r="D88" s="39" t="s">
        <v>833</v>
      </c>
      <c r="E88" s="32"/>
    </row>
    <row r="89" spans="1:5" ht="14.25">
      <c r="B89" s="19"/>
      <c r="C89" s="19"/>
      <c r="D89" s="33" t="s">
        <v>834</v>
      </c>
      <c r="E89" s="32"/>
    </row>
    <row r="90" spans="1:5" ht="14.25">
      <c r="B90" s="19"/>
      <c r="C90" s="19"/>
      <c r="D90" s="33" t="s">
        <v>839</v>
      </c>
      <c r="E90" s="32"/>
    </row>
    <row r="91" spans="1:5" ht="14.25">
      <c r="D91" s="34"/>
      <c r="E91" s="36"/>
    </row>
    <row r="92" spans="1:5" ht="14.25">
      <c r="D92" s="13" t="s">
        <v>692</v>
      </c>
    </row>
    <row r="93" spans="1:5" ht="14.25"/>
    <row r="94" spans="1:5" ht="14.25"/>
    <row r="95" spans="1:5" ht="15" customHeight="1"/>
    <row r="96" spans="1:5" ht="15" customHeight="1"/>
    <row r="97" ht="15" customHeight="1"/>
    <row r="98" ht="15" customHeight="1"/>
    <row r="99" ht="15" customHeight="1"/>
  </sheetData>
  <mergeCells count="19">
    <mergeCell ref="B7:F7"/>
    <mergeCell ref="B23:F23"/>
    <mergeCell ref="B25:F25"/>
    <mergeCell ref="B29:F29"/>
    <mergeCell ref="B30:F30"/>
    <mergeCell ref="B9:F9"/>
    <mergeCell ref="B11:F11"/>
    <mergeCell ref="B12:F12"/>
    <mergeCell ref="B13:F13"/>
    <mergeCell ref="B14:F14"/>
    <mergeCell ref="B15:F15"/>
    <mergeCell ref="B65:F65"/>
    <mergeCell ref="B66:F66"/>
    <mergeCell ref="B16:F16"/>
    <mergeCell ref="B17:F17"/>
    <mergeCell ref="B18:F18"/>
    <mergeCell ref="B19:F19"/>
    <mergeCell ref="B20:F20"/>
    <mergeCell ref="B21:F21"/>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zoomScale="70" zoomScaleNormal="70" workbookViewId="0">
      <selection activeCell="B2" sqref="B2"/>
    </sheetView>
  </sheetViews>
  <sheetFormatPr defaultColWidth="0" defaultRowHeight="15" customHeight="1" zeroHeight="1"/>
  <cols>
    <col min="1" max="1" width="4" style="1" customWidth="1"/>
    <col min="2" max="2" width="7.140625" style="1" customWidth="1"/>
    <col min="3" max="3" width="23.7109375" style="1" customWidth="1"/>
    <col min="4" max="4" width="13" style="3" customWidth="1"/>
    <col min="5" max="12" width="9.140625" style="1" customWidth="1"/>
    <col min="13" max="13" width="32.28515625" style="1" customWidth="1"/>
    <col min="14" max="21" width="9.140625" style="1" hidden="1" customWidth="1"/>
    <col min="22" max="16384" width="9.140625" style="1" hidden="1"/>
  </cols>
  <sheetData>
    <row r="1" spans="2:12"/>
    <row r="2" spans="2:12" s="6" customFormat="1" ht="28.5">
      <c r="B2" s="7" t="s">
        <v>879</v>
      </c>
      <c r="D2" s="8"/>
    </row>
    <row r="3" spans="2:12" ht="12" customHeight="1">
      <c r="B3" s="5"/>
    </row>
    <row r="4" spans="2:12" ht="96" customHeight="1">
      <c r="B4" s="416" t="s">
        <v>880</v>
      </c>
      <c r="C4" s="417"/>
      <c r="D4" s="417"/>
      <c r="E4" s="417"/>
      <c r="F4" s="417"/>
      <c r="G4" s="417"/>
      <c r="H4" s="417"/>
      <c r="I4" s="417"/>
      <c r="J4" s="417"/>
      <c r="K4" s="417"/>
      <c r="L4" s="417"/>
    </row>
    <row r="5" spans="2:12" ht="15" customHeight="1">
      <c r="B5" s="4"/>
    </row>
    <row r="6" spans="2:12" ht="15" customHeight="1">
      <c r="B6" s="4"/>
    </row>
    <row r="7" spans="2:12"/>
    <row r="8" spans="2:12">
      <c r="B8" s="2"/>
    </row>
    <row r="9" spans="2:12">
      <c r="B9" s="2"/>
    </row>
    <row r="10" spans="2:12">
      <c r="B10" s="2"/>
    </row>
    <row r="11" spans="2:12">
      <c r="B11" s="2"/>
    </row>
    <row r="12" spans="2:12">
      <c r="B12" s="2"/>
    </row>
    <row r="13" spans="2:12">
      <c r="B13" s="418" t="s">
        <v>858</v>
      </c>
      <c r="C13" s="418"/>
      <c r="D13" s="419"/>
      <c r="E13" s="418"/>
      <c r="F13" s="418"/>
      <c r="G13" s="418"/>
      <c r="H13" s="418"/>
      <c r="I13" s="418"/>
      <c r="J13" s="418"/>
      <c r="K13" s="418"/>
      <c r="L13" s="418"/>
    </row>
    <row r="14" spans="2:12">
      <c r="B14" s="2"/>
    </row>
    <row r="15" spans="2:12" ht="33" customHeight="1">
      <c r="B15" s="414" t="s">
        <v>859</v>
      </c>
      <c r="C15" s="414"/>
      <c r="D15" s="415"/>
      <c r="E15" s="414"/>
      <c r="F15" s="414"/>
      <c r="G15" s="414"/>
      <c r="H15" s="414"/>
      <c r="I15" s="414"/>
      <c r="J15" s="414"/>
      <c r="K15" s="414"/>
      <c r="L15" s="414"/>
    </row>
    <row r="16" spans="2:12">
      <c r="B16" s="12"/>
    </row>
    <row r="17" spans="2:12">
      <c r="B17" s="2"/>
    </row>
    <row r="18" spans="2:12">
      <c r="B18" s="2"/>
    </row>
    <row r="19" spans="2:12">
      <c r="B19" s="2"/>
    </row>
    <row r="20" spans="2:12">
      <c r="B20" s="2"/>
    </row>
    <row r="21" spans="2:12">
      <c r="B21" s="2"/>
    </row>
    <row r="22" spans="2:12">
      <c r="B22" s="2"/>
    </row>
    <row r="23" spans="2:12">
      <c r="B23" s="2"/>
    </row>
    <row r="24" spans="2:12">
      <c r="B24" s="2"/>
    </row>
    <row r="25" spans="2:12">
      <c r="B25" s="2"/>
    </row>
    <row r="26" spans="2:12">
      <c r="B26" s="2"/>
    </row>
    <row r="27" spans="2:12">
      <c r="B27" s="2"/>
    </row>
    <row r="28" spans="2:12">
      <c r="B28" s="418" t="s">
        <v>860</v>
      </c>
      <c r="C28" s="418"/>
      <c r="D28" s="419"/>
      <c r="E28" s="418"/>
      <c r="F28" s="418"/>
      <c r="G28" s="418"/>
      <c r="H28" s="418"/>
      <c r="I28" s="418"/>
      <c r="J28" s="418"/>
      <c r="K28" s="418"/>
      <c r="L28" s="418"/>
    </row>
    <row r="29" spans="2:12">
      <c r="B29" s="2"/>
    </row>
    <row r="30" spans="2:12" ht="33" customHeight="1">
      <c r="B30" s="414" t="s">
        <v>859</v>
      </c>
      <c r="C30" s="414"/>
      <c r="D30" s="415"/>
      <c r="E30" s="414"/>
      <c r="F30" s="414"/>
      <c r="G30" s="414"/>
      <c r="H30" s="414"/>
      <c r="I30" s="414"/>
      <c r="J30" s="414"/>
      <c r="K30" s="414"/>
      <c r="L30" s="414"/>
    </row>
    <row r="31" spans="2:12">
      <c r="B31" s="2"/>
    </row>
    <row r="32" spans="2:12">
      <c r="B32" s="2"/>
    </row>
    <row r="33" spans="2:12">
      <c r="B33" s="2"/>
    </row>
    <row r="34" spans="2:12">
      <c r="B34" s="2"/>
    </row>
    <row r="35" spans="2:12">
      <c r="B35" s="2"/>
    </row>
    <row r="36" spans="2:12">
      <c r="B36" s="2"/>
    </row>
    <row r="37" spans="2:12">
      <c r="B37" s="2"/>
    </row>
    <row r="38" spans="2:12">
      <c r="B38" s="2"/>
    </row>
    <row r="39" spans="2:12">
      <c r="B39" s="2"/>
    </row>
    <row r="40" spans="2:12">
      <c r="B40" s="2"/>
    </row>
    <row r="41" spans="2:12">
      <c r="B41" s="418" t="s">
        <v>861</v>
      </c>
      <c r="C41" s="418"/>
      <c r="D41" s="419"/>
      <c r="E41" s="418"/>
      <c r="F41" s="418"/>
      <c r="G41" s="418"/>
      <c r="H41" s="418"/>
      <c r="I41" s="418"/>
      <c r="J41" s="418"/>
      <c r="K41" s="418"/>
      <c r="L41" s="418"/>
    </row>
    <row r="42" spans="2:12">
      <c r="B42" s="2"/>
    </row>
    <row r="43" spans="2:12" ht="33" customHeight="1">
      <c r="B43" s="414" t="s">
        <v>859</v>
      </c>
      <c r="C43" s="414"/>
      <c r="D43" s="415"/>
      <c r="E43" s="414"/>
      <c r="F43" s="414"/>
      <c r="G43" s="414"/>
      <c r="H43" s="414"/>
      <c r="I43" s="414"/>
      <c r="J43" s="414"/>
      <c r="K43" s="414"/>
      <c r="L43" s="414"/>
    </row>
    <row r="44" spans="2:12">
      <c r="B44" s="2"/>
    </row>
    <row r="45" spans="2:12">
      <c r="B45" s="2"/>
    </row>
    <row r="46" spans="2:12">
      <c r="B46" s="2"/>
    </row>
    <row r="47" spans="2:12">
      <c r="B47" s="2"/>
    </row>
    <row r="48" spans="2:12">
      <c r="B48" s="2"/>
    </row>
    <row r="49" spans="2:12">
      <c r="B49" s="2"/>
    </row>
    <row r="50" spans="2:12">
      <c r="B50" s="2"/>
    </row>
    <row r="51" spans="2:12">
      <c r="B51" s="2"/>
    </row>
    <row r="52" spans="2:12">
      <c r="B52" s="2"/>
    </row>
    <row r="53" spans="2:12">
      <c r="B53" s="418" t="s">
        <v>862</v>
      </c>
      <c r="C53" s="418"/>
      <c r="D53" s="419"/>
      <c r="E53" s="418"/>
      <c r="F53" s="418"/>
      <c r="G53" s="418"/>
      <c r="H53" s="418"/>
      <c r="I53" s="418"/>
      <c r="J53" s="418"/>
      <c r="K53" s="418"/>
      <c r="L53" s="418"/>
    </row>
    <row r="54" spans="2:12">
      <c r="B54" s="2"/>
    </row>
    <row r="55" spans="2:12" ht="33" customHeight="1">
      <c r="B55" s="414" t="s">
        <v>859</v>
      </c>
      <c r="C55" s="414"/>
      <c r="D55" s="415"/>
      <c r="E55" s="414"/>
      <c r="F55" s="414"/>
      <c r="G55" s="414"/>
      <c r="H55" s="414"/>
      <c r="I55" s="414"/>
      <c r="J55" s="414"/>
      <c r="K55" s="414"/>
      <c r="L55" s="414"/>
    </row>
    <row r="56" spans="2:12">
      <c r="B56" s="2"/>
    </row>
    <row r="57" spans="2:12">
      <c r="B57" s="2"/>
    </row>
    <row r="58" spans="2:12">
      <c r="B58" s="2"/>
    </row>
    <row r="59" spans="2:12">
      <c r="B59" s="2"/>
    </row>
    <row r="60" spans="2:12">
      <c r="B60" s="2"/>
    </row>
    <row r="61" spans="2:12">
      <c r="B61" s="2"/>
    </row>
    <row r="62" spans="2:12">
      <c r="B62" s="2"/>
    </row>
    <row r="63" spans="2:12">
      <c r="B63" s="2"/>
    </row>
    <row r="64" spans="2:1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row r="83" spans="2:2"/>
    <row r="84" spans="2:2"/>
    <row r="85" spans="2:2"/>
    <row r="86" spans="2:2" ht="15" customHeight="1"/>
    <row r="87" spans="2:2" ht="15" customHeight="1"/>
    <row r="88" spans="2:2" ht="15" customHeight="1"/>
    <row r="89" spans="2:2" ht="15" customHeight="1"/>
    <row r="90" spans="2:2" ht="15" customHeight="1"/>
    <row r="91" spans="2:2" ht="15" customHeight="1"/>
    <row r="92" spans="2:2" ht="15" customHeight="1"/>
    <row r="93" spans="2:2" ht="15" customHeight="1"/>
    <row r="94" spans="2:2" ht="15" customHeight="1"/>
    <row r="95" spans="2:2" ht="15" customHeight="1"/>
    <row r="96" spans="2:2"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sheetData>
  <mergeCells count="9">
    <mergeCell ref="B43:L43"/>
    <mergeCell ref="B55:L55"/>
    <mergeCell ref="B4:L4"/>
    <mergeCell ref="B13:L13"/>
    <mergeCell ref="B28:L28"/>
    <mergeCell ref="B41:L41"/>
    <mergeCell ref="B53:L53"/>
    <mergeCell ref="B15:L15"/>
    <mergeCell ref="B30:L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zoomScale="70" zoomScaleNormal="70" workbookViewId="0">
      <selection activeCell="B2" sqref="B2"/>
    </sheetView>
  </sheetViews>
  <sheetFormatPr defaultColWidth="0" defaultRowHeight="15" customHeight="1" zeroHeight="1"/>
  <cols>
    <col min="1" max="1" width="4" style="1" customWidth="1"/>
    <col min="2" max="2" width="7.140625" style="1" customWidth="1"/>
    <col min="3" max="3" width="23.7109375" style="1" customWidth="1"/>
    <col min="4" max="4" width="13" style="3" customWidth="1"/>
    <col min="5" max="9" width="9.140625" style="1" customWidth="1"/>
    <col min="10" max="10" width="32.28515625" style="1" customWidth="1"/>
    <col min="11" max="18" width="9.140625" style="1" hidden="1" customWidth="1"/>
    <col min="19" max="16384" width="9.140625" style="1" hidden="1"/>
  </cols>
  <sheetData>
    <row r="1" spans="1:9">
      <c r="A1" s="13"/>
      <c r="B1" s="13"/>
      <c r="C1" s="13"/>
      <c r="D1" s="42"/>
      <c r="E1" s="13"/>
      <c r="F1" s="13"/>
      <c r="G1" s="13"/>
      <c r="H1" s="13"/>
      <c r="I1" s="13"/>
    </row>
    <row r="2" spans="1:9" s="6" customFormat="1" ht="28.5">
      <c r="A2" s="16"/>
      <c r="B2" s="15" t="s">
        <v>877</v>
      </c>
      <c r="C2" s="16"/>
      <c r="D2" s="43"/>
      <c r="E2" s="16"/>
      <c r="F2" s="16"/>
      <c r="G2" s="16"/>
      <c r="H2" s="16"/>
      <c r="I2" s="16"/>
    </row>
    <row r="3" spans="1:9" ht="12" customHeight="1">
      <c r="A3" s="13"/>
      <c r="B3" s="17"/>
      <c r="C3" s="13"/>
      <c r="D3" s="42"/>
      <c r="E3" s="13"/>
      <c r="F3" s="13"/>
      <c r="G3" s="13"/>
      <c r="H3" s="13"/>
      <c r="I3" s="13"/>
    </row>
    <row r="4" spans="1:9" ht="38.25" customHeight="1">
      <c r="A4" s="13"/>
      <c r="B4" s="420" t="s">
        <v>878</v>
      </c>
      <c r="C4" s="421"/>
      <c r="D4" s="421"/>
      <c r="E4" s="421"/>
      <c r="F4" s="421"/>
      <c r="G4" s="421"/>
      <c r="H4" s="421"/>
      <c r="I4" s="421"/>
    </row>
    <row r="5" spans="1:9" ht="15" customHeight="1">
      <c r="A5" s="13"/>
      <c r="B5" s="18"/>
      <c r="C5" s="13"/>
      <c r="D5" s="42"/>
      <c r="E5" s="13"/>
      <c r="F5" s="13"/>
      <c r="G5" s="13"/>
      <c r="H5" s="13"/>
      <c r="I5" s="13"/>
    </row>
    <row r="6" spans="1:9">
      <c r="A6" s="13"/>
      <c r="B6" s="26"/>
      <c r="C6" s="13"/>
      <c r="D6" s="42"/>
      <c r="E6" s="13"/>
      <c r="F6" s="13"/>
      <c r="G6" s="13"/>
      <c r="H6" s="13"/>
      <c r="I6" s="13"/>
    </row>
    <row r="7" spans="1:9" ht="18">
      <c r="A7" s="13"/>
      <c r="B7" s="44" t="s">
        <v>629</v>
      </c>
      <c r="C7" s="13"/>
      <c r="D7" s="42"/>
      <c r="E7" s="13"/>
      <c r="F7" s="13"/>
      <c r="G7" s="13"/>
      <c r="H7" s="13"/>
      <c r="I7" s="13"/>
    </row>
    <row r="8" spans="1:9">
      <c r="A8" s="13"/>
      <c r="B8" s="26"/>
      <c r="C8" s="13"/>
      <c r="D8" s="42"/>
      <c r="E8" s="13"/>
      <c r="F8" s="13"/>
      <c r="G8" s="13"/>
      <c r="H8" s="13"/>
      <c r="I8" s="13"/>
    </row>
    <row r="9" spans="1:9">
      <c r="A9" s="13"/>
      <c r="B9" s="45" t="s">
        <v>631</v>
      </c>
      <c r="C9" s="13"/>
      <c r="D9" s="46" t="s">
        <v>632</v>
      </c>
      <c r="E9" s="13"/>
      <c r="F9" s="13"/>
      <c r="G9" s="13"/>
      <c r="H9" s="13"/>
      <c r="I9" s="13"/>
    </row>
    <row r="10" spans="1:9">
      <c r="A10" s="13"/>
      <c r="B10" s="26"/>
      <c r="C10" s="13" t="s">
        <v>628</v>
      </c>
      <c r="D10" s="42"/>
      <c r="E10" s="13" t="s">
        <v>620</v>
      </c>
      <c r="F10" s="13"/>
      <c r="G10" s="13"/>
      <c r="H10" s="13"/>
      <c r="I10" s="13"/>
    </row>
    <row r="11" spans="1:9">
      <c r="A11" s="13"/>
      <c r="B11" s="26"/>
      <c r="C11" s="13" t="s">
        <v>595</v>
      </c>
      <c r="D11" s="42"/>
      <c r="E11" s="13" t="s">
        <v>620</v>
      </c>
      <c r="F11" s="13"/>
      <c r="G11" s="13"/>
      <c r="H11" s="13"/>
      <c r="I11" s="13"/>
    </row>
    <row r="12" spans="1:9">
      <c r="A12" s="13"/>
      <c r="B12" s="26"/>
      <c r="C12" s="13" t="s">
        <v>596</v>
      </c>
      <c r="D12" s="42"/>
      <c r="E12" s="13" t="s">
        <v>620</v>
      </c>
      <c r="F12" s="13"/>
      <c r="G12" s="13"/>
      <c r="H12" s="13"/>
      <c r="I12" s="13"/>
    </row>
    <row r="13" spans="1:9">
      <c r="A13" s="13"/>
      <c r="B13" s="26"/>
      <c r="C13" s="13" t="s">
        <v>597</v>
      </c>
      <c r="D13" s="42"/>
      <c r="E13" s="13" t="s">
        <v>620</v>
      </c>
      <c r="F13" s="13"/>
      <c r="G13" s="13"/>
      <c r="H13" s="13"/>
      <c r="I13" s="13"/>
    </row>
    <row r="14" spans="1:9">
      <c r="A14" s="13"/>
      <c r="B14" s="26"/>
      <c r="C14" s="13" t="s">
        <v>630</v>
      </c>
      <c r="D14" s="42"/>
      <c r="E14" s="13" t="s">
        <v>620</v>
      </c>
      <c r="F14" s="13"/>
      <c r="G14" s="13"/>
      <c r="H14" s="13"/>
      <c r="I14" s="13"/>
    </row>
    <row r="15" spans="1:9">
      <c r="A15" s="13"/>
      <c r="B15" s="23"/>
      <c r="C15" s="13"/>
      <c r="D15" s="42"/>
      <c r="E15" s="13"/>
      <c r="F15" s="13"/>
      <c r="G15" s="13"/>
      <c r="H15" s="13"/>
      <c r="I15" s="13"/>
    </row>
    <row r="16" spans="1:9">
      <c r="A16" s="13"/>
      <c r="B16" s="45" t="s">
        <v>634</v>
      </c>
      <c r="C16" s="13"/>
      <c r="D16" s="46" t="s">
        <v>633</v>
      </c>
      <c r="E16" s="13"/>
      <c r="F16" s="13"/>
      <c r="G16" s="13"/>
      <c r="H16" s="13"/>
      <c r="I16" s="13"/>
    </row>
    <row r="17" spans="1:9">
      <c r="A17" s="13"/>
      <c r="B17" s="26"/>
      <c r="C17" s="13" t="s">
        <v>628</v>
      </c>
      <c r="D17" s="42"/>
      <c r="E17" s="13" t="s">
        <v>620</v>
      </c>
      <c r="F17" s="13"/>
      <c r="G17" s="13"/>
      <c r="H17" s="13"/>
      <c r="I17" s="13"/>
    </row>
    <row r="18" spans="1:9">
      <c r="A18" s="13"/>
      <c r="B18" s="26"/>
      <c r="C18" s="13" t="s">
        <v>595</v>
      </c>
      <c r="D18" s="42"/>
      <c r="E18" s="13" t="s">
        <v>620</v>
      </c>
      <c r="F18" s="13"/>
      <c r="G18" s="13"/>
      <c r="H18" s="13"/>
      <c r="I18" s="13"/>
    </row>
    <row r="19" spans="1:9">
      <c r="A19" s="13"/>
      <c r="B19" s="26"/>
      <c r="C19" s="13" t="s">
        <v>596</v>
      </c>
      <c r="D19" s="42"/>
      <c r="E19" s="13" t="s">
        <v>620</v>
      </c>
      <c r="F19" s="13"/>
      <c r="G19" s="13"/>
      <c r="H19" s="13"/>
      <c r="I19" s="13"/>
    </row>
    <row r="20" spans="1:9">
      <c r="A20" s="13"/>
      <c r="B20" s="26"/>
      <c r="C20" s="13" t="s">
        <v>597</v>
      </c>
      <c r="D20" s="42"/>
      <c r="E20" s="13" t="s">
        <v>620</v>
      </c>
      <c r="F20" s="13"/>
      <c r="G20" s="13"/>
      <c r="H20" s="13"/>
      <c r="I20" s="13"/>
    </row>
    <row r="21" spans="1:9">
      <c r="A21" s="13"/>
      <c r="B21" s="26"/>
      <c r="C21" s="13" t="s">
        <v>630</v>
      </c>
      <c r="D21" s="42"/>
      <c r="E21" s="13" t="s">
        <v>620</v>
      </c>
      <c r="F21" s="13"/>
      <c r="G21" s="13"/>
      <c r="H21" s="13"/>
      <c r="I21" s="13"/>
    </row>
    <row r="22" spans="1:9">
      <c r="A22" s="13"/>
      <c r="B22" s="26"/>
      <c r="C22" s="13"/>
      <c r="D22" s="42"/>
      <c r="E22" s="13"/>
      <c r="F22" s="13"/>
      <c r="G22" s="13"/>
      <c r="H22" s="13"/>
      <c r="I22" s="13"/>
    </row>
    <row r="23" spans="1:9">
      <c r="A23" s="13"/>
      <c r="B23" s="45" t="s">
        <v>635</v>
      </c>
      <c r="C23" s="13"/>
      <c r="D23" s="46" t="s">
        <v>633</v>
      </c>
      <c r="E23" s="13"/>
      <c r="F23" s="13"/>
      <c r="G23" s="13"/>
      <c r="H23" s="13"/>
      <c r="I23" s="13"/>
    </row>
    <row r="24" spans="1:9">
      <c r="A24" s="13"/>
      <c r="B24" s="26"/>
      <c r="C24" s="13" t="s">
        <v>636</v>
      </c>
      <c r="D24" s="42"/>
      <c r="E24" s="13" t="s">
        <v>620</v>
      </c>
      <c r="F24" s="13"/>
      <c r="G24" s="13"/>
      <c r="H24" s="13"/>
      <c r="I24" s="13"/>
    </row>
    <row r="25" spans="1:9">
      <c r="A25" s="13"/>
      <c r="B25" s="26"/>
      <c r="C25" s="13" t="s">
        <v>637</v>
      </c>
      <c r="D25" s="42"/>
      <c r="E25" s="13" t="s">
        <v>620</v>
      </c>
      <c r="F25" s="13"/>
      <c r="G25" s="13"/>
      <c r="H25" s="13"/>
      <c r="I25" s="13"/>
    </row>
    <row r="26" spans="1:9">
      <c r="A26" s="13"/>
      <c r="B26" s="26"/>
      <c r="C26" s="13" t="s">
        <v>608</v>
      </c>
      <c r="D26" s="42"/>
      <c r="E26" s="13" t="s">
        <v>620</v>
      </c>
      <c r="F26" s="13"/>
      <c r="G26" s="13"/>
      <c r="H26" s="13"/>
      <c r="I26" s="13"/>
    </row>
    <row r="27" spans="1:9">
      <c r="A27" s="13"/>
      <c r="B27" s="26"/>
      <c r="C27" s="13" t="s">
        <v>642</v>
      </c>
      <c r="D27" s="42"/>
      <c r="E27" s="13" t="s">
        <v>620</v>
      </c>
      <c r="F27" s="13"/>
      <c r="G27" s="13"/>
      <c r="H27" s="13"/>
      <c r="I27" s="13"/>
    </row>
    <row r="28" spans="1:9">
      <c r="A28" s="13"/>
      <c r="B28" s="26"/>
      <c r="C28" s="13" t="s">
        <v>614</v>
      </c>
      <c r="D28" s="42"/>
      <c r="E28" s="13" t="s">
        <v>620</v>
      </c>
      <c r="F28" s="13"/>
      <c r="G28" s="13"/>
      <c r="H28" s="13"/>
      <c r="I28" s="13"/>
    </row>
    <row r="29" spans="1:9">
      <c r="A29" s="13"/>
      <c r="B29" s="26"/>
      <c r="C29" s="13" t="s">
        <v>638</v>
      </c>
      <c r="D29" s="42"/>
      <c r="E29" s="13" t="s">
        <v>620</v>
      </c>
      <c r="F29" s="13"/>
      <c r="G29" s="13"/>
      <c r="H29" s="13"/>
      <c r="I29" s="13"/>
    </row>
    <row r="30" spans="1:9">
      <c r="A30" s="13"/>
      <c r="B30" s="26"/>
      <c r="C30" s="13" t="s">
        <v>639</v>
      </c>
      <c r="D30" s="42"/>
      <c r="E30" s="13" t="s">
        <v>620</v>
      </c>
      <c r="F30" s="13"/>
      <c r="G30" s="13"/>
      <c r="H30" s="13"/>
      <c r="I30" s="13"/>
    </row>
    <row r="31" spans="1:9">
      <c r="A31" s="13"/>
      <c r="B31" s="26"/>
      <c r="C31" s="13" t="s">
        <v>640</v>
      </c>
      <c r="D31" s="42"/>
      <c r="E31" s="13" t="s">
        <v>620</v>
      </c>
      <c r="F31" s="13"/>
      <c r="G31" s="13"/>
      <c r="H31" s="13"/>
      <c r="I31" s="13"/>
    </row>
    <row r="32" spans="1:9">
      <c r="A32" s="13"/>
      <c r="B32" s="26"/>
      <c r="C32" s="13" t="s">
        <v>641</v>
      </c>
      <c r="D32" s="42"/>
      <c r="E32" s="13" t="s">
        <v>620</v>
      </c>
      <c r="F32" s="13"/>
      <c r="G32" s="13"/>
      <c r="H32" s="13"/>
      <c r="I32" s="13"/>
    </row>
    <row r="33" spans="1:9">
      <c r="A33" s="13"/>
      <c r="B33" s="26"/>
      <c r="C33" s="13"/>
      <c r="D33" s="42"/>
      <c r="E33" s="13"/>
      <c r="F33" s="13"/>
      <c r="G33" s="13"/>
      <c r="H33" s="13"/>
      <c r="I33" s="13"/>
    </row>
    <row r="34" spans="1:9">
      <c r="A34" s="13"/>
      <c r="B34" s="26"/>
      <c r="C34" s="13"/>
      <c r="D34" s="42"/>
      <c r="E34" s="13"/>
      <c r="F34" s="13"/>
      <c r="G34" s="13"/>
      <c r="H34" s="13"/>
      <c r="I34" s="13"/>
    </row>
    <row r="35" spans="1:9" ht="18">
      <c r="A35" s="13"/>
      <c r="B35" s="44" t="s">
        <v>643</v>
      </c>
      <c r="C35" s="13"/>
      <c r="D35" s="42"/>
      <c r="E35" s="13"/>
      <c r="F35" s="13"/>
      <c r="G35" s="13"/>
      <c r="H35" s="13"/>
      <c r="I35" s="13"/>
    </row>
    <row r="36" spans="1:9">
      <c r="A36" s="13"/>
      <c r="B36" s="26"/>
      <c r="C36" s="13"/>
      <c r="D36" s="42"/>
      <c r="E36" s="13"/>
      <c r="F36" s="13"/>
      <c r="G36" s="13"/>
      <c r="H36" s="13"/>
      <c r="I36" s="13"/>
    </row>
    <row r="37" spans="1:9">
      <c r="A37" s="13"/>
      <c r="B37" s="45" t="s">
        <v>631</v>
      </c>
      <c r="C37" s="13"/>
      <c r="D37" s="46" t="s">
        <v>632</v>
      </c>
      <c r="E37" s="13"/>
      <c r="F37" s="13"/>
      <c r="G37" s="13"/>
      <c r="H37" s="13"/>
      <c r="I37" s="13"/>
    </row>
    <row r="38" spans="1:9">
      <c r="A38" s="13"/>
      <c r="B38" s="26"/>
      <c r="C38" s="13" t="s">
        <v>628</v>
      </c>
      <c r="D38" s="42"/>
      <c r="E38" s="13" t="s">
        <v>594</v>
      </c>
      <c r="F38" s="13"/>
      <c r="G38" s="13"/>
      <c r="H38" s="13"/>
      <c r="I38" s="13"/>
    </row>
    <row r="39" spans="1:9">
      <c r="A39" s="13"/>
      <c r="B39" s="26"/>
      <c r="C39" s="13" t="s">
        <v>595</v>
      </c>
      <c r="D39" s="42"/>
      <c r="E39" s="13" t="s">
        <v>594</v>
      </c>
      <c r="F39" s="13"/>
      <c r="G39" s="13"/>
      <c r="H39" s="13"/>
      <c r="I39" s="13"/>
    </row>
    <row r="40" spans="1:9">
      <c r="A40" s="13"/>
      <c r="B40" s="26"/>
      <c r="C40" s="13" t="s">
        <v>596</v>
      </c>
      <c r="D40" s="42"/>
      <c r="E40" s="13" t="s">
        <v>594</v>
      </c>
      <c r="F40" s="13"/>
      <c r="G40" s="13"/>
      <c r="H40" s="13"/>
      <c r="I40" s="13"/>
    </row>
    <row r="41" spans="1:9">
      <c r="A41" s="13"/>
      <c r="B41" s="26"/>
      <c r="C41" s="13" t="s">
        <v>597</v>
      </c>
      <c r="D41" s="42"/>
      <c r="E41" s="13" t="s">
        <v>594</v>
      </c>
      <c r="F41" s="13"/>
      <c r="G41" s="13"/>
      <c r="H41" s="13"/>
      <c r="I41" s="13"/>
    </row>
    <row r="42" spans="1:9">
      <c r="A42" s="13"/>
      <c r="B42" s="26"/>
      <c r="C42" s="13" t="s">
        <v>630</v>
      </c>
      <c r="D42" s="42"/>
      <c r="E42" s="13" t="s">
        <v>594</v>
      </c>
      <c r="F42" s="13"/>
      <c r="G42" s="13"/>
      <c r="H42" s="13"/>
      <c r="I42" s="13"/>
    </row>
    <row r="43" spans="1:9">
      <c r="A43" s="13"/>
      <c r="B43" s="23"/>
      <c r="C43" s="13"/>
      <c r="D43" s="42"/>
      <c r="E43" s="13"/>
      <c r="F43" s="13"/>
      <c r="G43" s="13"/>
      <c r="H43" s="13"/>
      <c r="I43" s="13"/>
    </row>
    <row r="44" spans="1:9">
      <c r="A44" s="13"/>
      <c r="B44" s="45" t="s">
        <v>634</v>
      </c>
      <c r="C44" s="13"/>
      <c r="D44" s="46" t="s">
        <v>633</v>
      </c>
      <c r="E44" s="13"/>
      <c r="F44" s="13"/>
      <c r="G44" s="13"/>
      <c r="H44" s="13"/>
      <c r="I44" s="13"/>
    </row>
    <row r="45" spans="1:9">
      <c r="A45" s="13"/>
      <c r="B45" s="26"/>
      <c r="C45" s="13" t="s">
        <v>628</v>
      </c>
      <c r="D45" s="42"/>
      <c r="E45" s="13" t="s">
        <v>594</v>
      </c>
      <c r="F45" s="13"/>
      <c r="G45" s="13"/>
      <c r="H45" s="13"/>
      <c r="I45" s="13"/>
    </row>
    <row r="46" spans="1:9">
      <c r="A46" s="13"/>
      <c r="B46" s="26"/>
      <c r="C46" s="13" t="s">
        <v>595</v>
      </c>
      <c r="D46" s="42"/>
      <c r="E46" s="13" t="s">
        <v>594</v>
      </c>
      <c r="F46" s="13"/>
      <c r="G46" s="13"/>
      <c r="H46" s="13"/>
      <c r="I46" s="13"/>
    </row>
    <row r="47" spans="1:9">
      <c r="A47" s="13"/>
      <c r="B47" s="26"/>
      <c r="C47" s="13" t="s">
        <v>596</v>
      </c>
      <c r="D47" s="42"/>
      <c r="E47" s="13" t="s">
        <v>594</v>
      </c>
      <c r="F47" s="13"/>
      <c r="G47" s="13"/>
      <c r="H47" s="13"/>
      <c r="I47" s="13"/>
    </row>
    <row r="48" spans="1:9">
      <c r="A48" s="13"/>
      <c r="B48" s="26"/>
      <c r="C48" s="13" t="s">
        <v>597</v>
      </c>
      <c r="D48" s="42"/>
      <c r="E48" s="13" t="s">
        <v>594</v>
      </c>
      <c r="F48" s="13"/>
      <c r="G48" s="13"/>
      <c r="H48" s="13"/>
      <c r="I48" s="13"/>
    </row>
    <row r="49" spans="1:9">
      <c r="A49" s="13"/>
      <c r="B49" s="26"/>
      <c r="C49" s="13" t="s">
        <v>630</v>
      </c>
      <c r="D49" s="42"/>
      <c r="E49" s="13" t="s">
        <v>594</v>
      </c>
      <c r="F49" s="13"/>
      <c r="G49" s="13"/>
      <c r="H49" s="13"/>
      <c r="I49" s="13"/>
    </row>
    <row r="50" spans="1:9">
      <c r="A50" s="13"/>
      <c r="B50" s="26"/>
      <c r="C50" s="13"/>
      <c r="D50" s="42"/>
      <c r="E50" s="13"/>
      <c r="F50" s="13"/>
      <c r="G50" s="13"/>
      <c r="H50" s="13"/>
      <c r="I50" s="13"/>
    </row>
    <row r="51" spans="1:9">
      <c r="A51" s="13"/>
      <c r="B51" s="45" t="s">
        <v>635</v>
      </c>
      <c r="C51" s="13"/>
      <c r="D51" s="46" t="s">
        <v>633</v>
      </c>
      <c r="E51" s="13"/>
      <c r="F51" s="13"/>
      <c r="G51" s="13"/>
      <c r="H51" s="13"/>
      <c r="I51" s="13"/>
    </row>
    <row r="52" spans="1:9">
      <c r="A52" s="13"/>
      <c r="B52" s="26"/>
      <c r="C52" s="13" t="s">
        <v>636</v>
      </c>
      <c r="D52" s="42"/>
      <c r="E52" s="13" t="s">
        <v>594</v>
      </c>
      <c r="F52" s="13"/>
      <c r="G52" s="13"/>
      <c r="H52" s="13"/>
      <c r="I52" s="13"/>
    </row>
    <row r="53" spans="1:9">
      <c r="A53" s="13"/>
      <c r="B53" s="26"/>
      <c r="C53" s="13" t="s">
        <v>637</v>
      </c>
      <c r="D53" s="42"/>
      <c r="E53" s="13" t="s">
        <v>594</v>
      </c>
      <c r="F53" s="13"/>
      <c r="G53" s="13"/>
      <c r="H53" s="13"/>
      <c r="I53" s="13"/>
    </row>
    <row r="54" spans="1:9">
      <c r="A54" s="13"/>
      <c r="B54" s="26"/>
      <c r="C54" s="13" t="s">
        <v>608</v>
      </c>
      <c r="D54" s="42"/>
      <c r="E54" s="13" t="s">
        <v>594</v>
      </c>
      <c r="F54" s="13"/>
      <c r="G54" s="13"/>
      <c r="H54" s="13"/>
      <c r="I54" s="13"/>
    </row>
    <row r="55" spans="1:9">
      <c r="A55" s="13"/>
      <c r="B55" s="26"/>
      <c r="C55" s="13" t="s">
        <v>642</v>
      </c>
      <c r="D55" s="42"/>
      <c r="E55" s="13" t="s">
        <v>594</v>
      </c>
      <c r="F55" s="13"/>
      <c r="G55" s="13"/>
      <c r="H55" s="13"/>
      <c r="I55" s="13"/>
    </row>
    <row r="56" spans="1:9">
      <c r="A56" s="13"/>
      <c r="B56" s="26"/>
      <c r="C56" s="13" t="s">
        <v>614</v>
      </c>
      <c r="D56" s="42"/>
      <c r="E56" s="13" t="s">
        <v>594</v>
      </c>
      <c r="F56" s="13"/>
      <c r="G56" s="13"/>
      <c r="H56" s="13"/>
      <c r="I56" s="13"/>
    </row>
    <row r="57" spans="1:9">
      <c r="A57" s="13"/>
      <c r="B57" s="26"/>
      <c r="C57" s="13" t="s">
        <v>638</v>
      </c>
      <c r="D57" s="42"/>
      <c r="E57" s="13" t="s">
        <v>594</v>
      </c>
      <c r="F57" s="13"/>
      <c r="G57" s="13"/>
      <c r="H57" s="13"/>
      <c r="I57" s="13"/>
    </row>
    <row r="58" spans="1:9">
      <c r="A58" s="13"/>
      <c r="B58" s="26"/>
      <c r="C58" s="13" t="s">
        <v>639</v>
      </c>
      <c r="D58" s="42"/>
      <c r="E58" s="13" t="s">
        <v>594</v>
      </c>
      <c r="F58" s="13"/>
      <c r="G58" s="13"/>
      <c r="H58" s="13"/>
      <c r="I58" s="13"/>
    </row>
    <row r="59" spans="1:9">
      <c r="A59" s="13"/>
      <c r="B59" s="26"/>
      <c r="C59" s="13" t="s">
        <v>640</v>
      </c>
      <c r="D59" s="42"/>
      <c r="E59" s="13" t="s">
        <v>594</v>
      </c>
      <c r="F59" s="13"/>
      <c r="G59" s="13"/>
      <c r="H59" s="13"/>
      <c r="I59" s="13"/>
    </row>
    <row r="60" spans="1:9">
      <c r="A60" s="13"/>
      <c r="B60" s="26"/>
      <c r="C60" s="13" t="s">
        <v>641</v>
      </c>
      <c r="D60" s="42"/>
      <c r="E60" s="13" t="s">
        <v>594</v>
      </c>
      <c r="F60" s="13"/>
      <c r="G60" s="13"/>
      <c r="H60" s="13"/>
      <c r="I60" s="13"/>
    </row>
    <row r="61" spans="1:9">
      <c r="A61" s="13"/>
      <c r="B61" s="26"/>
      <c r="C61" s="13"/>
      <c r="D61" s="42"/>
      <c r="E61" s="13"/>
      <c r="F61" s="13"/>
      <c r="G61" s="13"/>
      <c r="H61" s="13"/>
      <c r="I61" s="13"/>
    </row>
    <row r="62" spans="1:9">
      <c r="A62" s="13"/>
      <c r="B62" s="26"/>
      <c r="C62" s="13"/>
      <c r="D62" s="42"/>
      <c r="E62" s="13"/>
      <c r="F62" s="13"/>
      <c r="G62" s="13"/>
      <c r="H62" s="13"/>
      <c r="I62" s="13"/>
    </row>
    <row r="63" spans="1:9">
      <c r="B63" s="2"/>
    </row>
    <row r="64" spans="1:9">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c r="B82" s="2"/>
    </row>
    <row r="83" spans="2:2">
      <c r="B83" s="2"/>
    </row>
    <row r="84" spans="2:2">
      <c r="B84" s="2"/>
    </row>
    <row r="85" spans="2:2">
      <c r="B85" s="2"/>
    </row>
    <row r="86" spans="2:2">
      <c r="B86" s="2"/>
    </row>
    <row r="87" spans="2:2">
      <c r="B87" s="2"/>
    </row>
    <row r="88" spans="2:2"/>
    <row r="89" spans="2:2"/>
    <row r="90" spans="2:2"/>
    <row r="91" spans="2:2"/>
    <row r="92" spans="2:2" ht="15" customHeight="1"/>
    <row r="93" spans="2:2" ht="15" customHeight="1"/>
    <row r="94" spans="2:2" ht="15" customHeight="1"/>
    <row r="95" spans="2:2" ht="15" customHeight="1"/>
    <row r="96" spans="2:2" ht="15" customHeight="1"/>
    <row r="97" ht="15" customHeight="1"/>
    <row r="98" ht="15" customHeight="1"/>
    <row r="99" ht="15" customHeight="1"/>
    <row r="100" ht="15" customHeight="1"/>
    <row r="101" ht="15" customHeight="1"/>
    <row r="102" ht="15" customHeight="1"/>
    <row r="103" ht="15" customHeight="1"/>
    <row r="104" ht="15" customHeight="1"/>
  </sheetData>
  <mergeCells count="1">
    <mergeCell ref="B4:I4"/>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125"/>
  <sheetViews>
    <sheetView zoomScale="55" zoomScaleNormal="55" workbookViewId="0">
      <selection activeCell="B2" sqref="B2"/>
    </sheetView>
  </sheetViews>
  <sheetFormatPr defaultRowHeight="15"/>
  <cols>
    <col min="1" max="1" width="9.28515625" customWidth="1"/>
    <col min="2" max="2" width="14" customWidth="1"/>
    <col min="3" max="3" width="8" customWidth="1"/>
    <col min="4" max="4" width="9.28515625" customWidth="1"/>
    <col min="5" max="6" width="12" customWidth="1"/>
    <col min="7" max="7" width="17.5703125" customWidth="1"/>
    <col min="8" max="8" width="18.7109375" customWidth="1"/>
    <col min="9" max="9" width="9.28515625" customWidth="1"/>
    <col min="10" max="10" width="12.140625" customWidth="1"/>
    <col min="11" max="12" width="9.28515625" customWidth="1"/>
    <col min="13" max="13" width="15.28515625" customWidth="1"/>
    <col min="14" max="14" width="9.28515625" customWidth="1"/>
    <col min="15" max="15" width="11.28515625" customWidth="1"/>
    <col min="16" max="16" width="10.85546875" customWidth="1"/>
    <col min="17" max="17" width="10.5703125" customWidth="1"/>
    <col min="18" max="19" width="9.28515625" customWidth="1"/>
    <col min="20" max="20" width="12.140625" customWidth="1"/>
    <col min="21" max="21" width="9.28515625" customWidth="1"/>
    <col min="22" max="22" width="11.140625" customWidth="1"/>
    <col min="23" max="23" width="17.85546875" customWidth="1"/>
    <col min="24" max="24" width="9.28515625" customWidth="1"/>
    <col min="25" max="25" width="12.42578125" customWidth="1"/>
    <col min="26" max="26" width="9.28515625" customWidth="1"/>
    <col min="27" max="27" width="8.28515625" customWidth="1"/>
    <col min="28" max="28" width="16" customWidth="1"/>
    <col min="29" max="29" width="9.28515625" customWidth="1"/>
    <col min="30" max="30" width="10.85546875" customWidth="1"/>
    <col min="31" max="31" width="10.7109375" customWidth="1"/>
    <col min="33" max="33" width="10.7109375" customWidth="1"/>
  </cols>
  <sheetData>
    <row r="1" spans="1:36">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row>
    <row r="2" spans="1:36" ht="30">
      <c r="A2" s="47"/>
      <c r="B2" s="48" t="s">
        <v>907</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row>
    <row r="3" spans="1:36">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row>
    <row r="4" spans="1:36" ht="23.25">
      <c r="A4" s="47"/>
      <c r="B4" s="49" t="s">
        <v>696</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row>
    <row r="5" spans="1:36">
      <c r="A5" s="47"/>
      <c r="B5" s="50"/>
      <c r="C5" s="50"/>
      <c r="D5" s="50"/>
      <c r="E5" s="50"/>
      <c r="F5" s="50"/>
      <c r="G5" s="50"/>
      <c r="H5" s="50"/>
      <c r="I5" s="50"/>
      <c r="J5" s="50"/>
      <c r="K5" s="50"/>
      <c r="L5" s="50"/>
      <c r="M5" s="50"/>
      <c r="N5" s="47"/>
      <c r="O5" s="47"/>
      <c r="P5" s="47"/>
      <c r="Q5" s="47"/>
      <c r="R5" s="47"/>
      <c r="S5" s="47"/>
      <c r="T5" s="47"/>
      <c r="U5" s="47"/>
      <c r="V5" s="47"/>
      <c r="W5" s="47"/>
      <c r="X5" s="47"/>
      <c r="Y5" s="47"/>
      <c r="Z5" s="47"/>
      <c r="AA5" s="47"/>
      <c r="AB5" s="47"/>
      <c r="AC5" s="47"/>
      <c r="AD5" s="47"/>
      <c r="AE5" s="47"/>
      <c r="AF5" s="47"/>
      <c r="AG5" s="47"/>
      <c r="AH5" s="47"/>
      <c r="AI5" s="47"/>
      <c r="AJ5" s="47"/>
    </row>
    <row r="6" spans="1:36" ht="24.75" customHeight="1">
      <c r="A6" s="47"/>
      <c r="B6" s="50"/>
      <c r="C6" s="51" t="s">
        <v>697</v>
      </c>
      <c r="D6" s="52"/>
      <c r="E6" s="52"/>
      <c r="F6" s="52"/>
      <c r="G6" s="52"/>
      <c r="H6" s="52"/>
      <c r="I6" s="52"/>
      <c r="J6" s="53"/>
      <c r="K6" s="50"/>
      <c r="L6" s="50"/>
      <c r="M6" s="50"/>
      <c r="N6" s="47"/>
      <c r="O6" s="47"/>
      <c r="P6" s="47"/>
      <c r="Q6" s="47"/>
      <c r="R6" s="47"/>
      <c r="S6" s="47"/>
      <c r="T6" s="47"/>
      <c r="U6" s="47"/>
      <c r="V6" s="47"/>
      <c r="W6" s="47"/>
      <c r="X6" s="47"/>
      <c r="Y6" s="47"/>
      <c r="Z6" s="47"/>
      <c r="AA6" s="47"/>
      <c r="AB6" s="47"/>
      <c r="AC6" s="47"/>
      <c r="AD6" s="47"/>
      <c r="AE6" s="47"/>
      <c r="AF6" s="47"/>
      <c r="AG6" s="47"/>
      <c r="AH6" s="47"/>
      <c r="AI6" s="47"/>
      <c r="AJ6" s="47"/>
    </row>
    <row r="7" spans="1:36" ht="24.75" customHeight="1">
      <c r="A7" s="47"/>
      <c r="B7" s="50"/>
      <c r="C7" s="54" t="s">
        <v>698</v>
      </c>
      <c r="D7" s="50"/>
      <c r="E7" s="50"/>
      <c r="F7" s="50"/>
      <c r="G7" s="50"/>
      <c r="H7" s="50"/>
      <c r="I7" s="50"/>
      <c r="J7" s="55"/>
      <c r="K7" s="50"/>
      <c r="L7" s="50"/>
      <c r="M7" s="50"/>
      <c r="N7" s="47"/>
      <c r="O7" s="47"/>
      <c r="P7" s="47"/>
      <c r="Q7" s="47"/>
      <c r="R7" s="47"/>
      <c r="S7" s="47"/>
      <c r="T7" s="47"/>
      <c r="U7" s="47"/>
      <c r="V7" s="47"/>
      <c r="W7" s="47"/>
      <c r="X7" s="47"/>
      <c r="Y7" s="47"/>
      <c r="Z7" s="47"/>
      <c r="AA7" s="47"/>
      <c r="AB7" s="47"/>
      <c r="AC7" s="47"/>
      <c r="AD7" s="47"/>
      <c r="AE7" s="47"/>
      <c r="AF7" s="47"/>
      <c r="AG7" s="47"/>
      <c r="AH7" s="47"/>
      <c r="AI7" s="47"/>
      <c r="AJ7" s="47"/>
    </row>
    <row r="8" spans="1:36" ht="24.75" customHeight="1">
      <c r="A8" s="47"/>
      <c r="B8" s="50"/>
      <c r="C8" s="54" t="s">
        <v>699</v>
      </c>
      <c r="D8" s="50"/>
      <c r="E8" s="50"/>
      <c r="F8" s="50"/>
      <c r="G8" s="50"/>
      <c r="H8" s="50"/>
      <c r="I8" s="50"/>
      <c r="J8" s="55"/>
      <c r="K8" s="50"/>
      <c r="L8" s="50"/>
      <c r="M8" s="50"/>
      <c r="N8" s="47"/>
      <c r="O8" s="47"/>
      <c r="P8" s="47"/>
      <c r="Q8" s="47"/>
      <c r="R8" s="47"/>
      <c r="S8" s="47"/>
      <c r="T8" s="47"/>
      <c r="U8" s="47"/>
      <c r="V8" s="47"/>
      <c r="W8" s="47"/>
      <c r="X8" s="47"/>
      <c r="Y8" s="47"/>
      <c r="Z8" s="47"/>
      <c r="AA8" s="47"/>
      <c r="AB8" s="47"/>
      <c r="AC8" s="47"/>
      <c r="AD8" s="47"/>
      <c r="AE8" s="47"/>
      <c r="AF8" s="47"/>
      <c r="AG8" s="47"/>
      <c r="AH8" s="47"/>
      <c r="AI8" s="47"/>
      <c r="AJ8" s="47"/>
    </row>
    <row r="9" spans="1:36" ht="24.75" customHeight="1">
      <c r="A9" s="47"/>
      <c r="B9" s="50"/>
      <c r="C9" s="54" t="s">
        <v>700</v>
      </c>
      <c r="D9" s="50"/>
      <c r="E9" s="50"/>
      <c r="F9" s="50"/>
      <c r="G9" s="50"/>
      <c r="H9" s="50"/>
      <c r="I9" s="50"/>
      <c r="J9" s="55"/>
      <c r="K9" s="50"/>
      <c r="L9" s="50"/>
      <c r="M9" s="50"/>
      <c r="N9" s="47"/>
      <c r="O9" s="47"/>
      <c r="P9" s="47"/>
      <c r="Q9" s="47"/>
      <c r="R9" s="47"/>
      <c r="S9" s="47"/>
      <c r="T9" s="47"/>
      <c r="U9" s="47"/>
      <c r="V9" s="47"/>
      <c r="W9" s="47"/>
      <c r="X9" s="47"/>
      <c r="Y9" s="47"/>
      <c r="Z9" s="47"/>
      <c r="AA9" s="47"/>
      <c r="AB9" s="47"/>
      <c r="AC9" s="47"/>
      <c r="AD9" s="47"/>
      <c r="AE9" s="47"/>
      <c r="AF9" s="47"/>
      <c r="AG9" s="47"/>
      <c r="AH9" s="47"/>
      <c r="AI9" s="47"/>
      <c r="AJ9" s="47"/>
    </row>
    <row r="10" spans="1:36" ht="24.75" customHeight="1">
      <c r="A10" s="47"/>
      <c r="B10" s="50"/>
      <c r="C10" s="54" t="s">
        <v>701</v>
      </c>
      <c r="D10" s="50"/>
      <c r="E10" s="50"/>
      <c r="F10" s="50"/>
      <c r="G10" s="50"/>
      <c r="H10" s="50"/>
      <c r="I10" s="50"/>
      <c r="J10" s="55"/>
      <c r="K10" s="50"/>
      <c r="L10" s="50"/>
      <c r="M10" s="50"/>
      <c r="N10" s="47"/>
      <c r="O10" s="47"/>
      <c r="P10" s="47"/>
      <c r="Q10" s="47"/>
      <c r="R10" s="47"/>
      <c r="S10" s="47"/>
      <c r="T10" s="47"/>
      <c r="U10" s="47"/>
      <c r="V10" s="47"/>
      <c r="W10" s="47"/>
      <c r="X10" s="47"/>
      <c r="Y10" s="47"/>
      <c r="Z10" s="47"/>
      <c r="AA10" s="47"/>
      <c r="AB10" s="47"/>
      <c r="AC10" s="47"/>
      <c r="AD10" s="47"/>
      <c r="AE10" s="47"/>
      <c r="AF10" s="47"/>
      <c r="AG10" s="47"/>
      <c r="AH10" s="47"/>
      <c r="AI10" s="47"/>
      <c r="AJ10" s="47"/>
    </row>
    <row r="11" spans="1:36" ht="24.75" customHeight="1">
      <c r="A11" s="47"/>
      <c r="B11" s="50"/>
      <c r="C11" s="56" t="s">
        <v>702</v>
      </c>
      <c r="D11" s="57"/>
      <c r="E11" s="57"/>
      <c r="F11" s="57"/>
      <c r="G11" s="57"/>
      <c r="H11" s="57"/>
      <c r="I11" s="57"/>
      <c r="J11" s="58"/>
      <c r="K11" s="50"/>
      <c r="L11" s="50"/>
      <c r="M11" s="50"/>
      <c r="N11" s="47"/>
      <c r="O11" s="47"/>
      <c r="P11" s="47"/>
      <c r="Q11" s="47"/>
      <c r="R11" s="47"/>
      <c r="S11" s="47"/>
      <c r="T11" s="47"/>
      <c r="U11" s="47"/>
      <c r="V11" s="47"/>
      <c r="W11" s="47"/>
      <c r="X11" s="47"/>
      <c r="Y11" s="47"/>
      <c r="Z11" s="47"/>
      <c r="AA11" s="47"/>
      <c r="AB11" s="47"/>
      <c r="AC11" s="47"/>
      <c r="AD11" s="47"/>
      <c r="AE11" s="47"/>
      <c r="AF11" s="47"/>
      <c r="AG11" s="47"/>
      <c r="AH11" s="47"/>
      <c r="AI11" s="47"/>
      <c r="AJ11" s="47"/>
    </row>
    <row r="12" spans="1:36">
      <c r="A12" s="47"/>
      <c r="B12" s="50"/>
      <c r="C12" s="50"/>
      <c r="D12" s="50"/>
      <c r="E12" s="50"/>
      <c r="F12" s="50"/>
      <c r="G12" s="50"/>
      <c r="H12" s="50"/>
      <c r="I12" s="50"/>
      <c r="J12" s="50"/>
      <c r="K12" s="50"/>
      <c r="L12" s="50"/>
      <c r="M12" s="50"/>
      <c r="N12" s="47"/>
      <c r="O12" s="47"/>
      <c r="P12" s="47"/>
      <c r="Q12" s="47"/>
      <c r="R12" s="47"/>
      <c r="S12" s="47"/>
      <c r="T12" s="47"/>
      <c r="U12" s="47"/>
      <c r="V12" s="47"/>
      <c r="W12" s="47"/>
      <c r="X12" s="47"/>
      <c r="Y12" s="47"/>
      <c r="Z12" s="47"/>
      <c r="AA12" s="47"/>
      <c r="AB12" s="47"/>
      <c r="AC12" s="47"/>
      <c r="AD12" s="47"/>
      <c r="AE12" s="47"/>
      <c r="AF12" s="47"/>
      <c r="AG12" s="47"/>
      <c r="AH12" s="47"/>
      <c r="AI12" s="47"/>
      <c r="AJ12" s="47"/>
    </row>
    <row r="13" spans="1:36" ht="23.25">
      <c r="A13" s="47"/>
      <c r="B13" s="49" t="s">
        <v>703</v>
      </c>
      <c r="C13" s="50"/>
      <c r="D13" s="50"/>
      <c r="E13" s="50"/>
      <c r="F13" s="50"/>
      <c r="G13" s="50"/>
      <c r="H13" s="50"/>
      <c r="I13" s="50"/>
      <c r="J13" s="50"/>
      <c r="K13" s="50"/>
      <c r="L13" s="50"/>
      <c r="M13" s="50"/>
      <c r="N13" s="47"/>
      <c r="O13" s="47"/>
      <c r="P13" s="47"/>
      <c r="Q13" s="47"/>
      <c r="R13" s="47"/>
      <c r="S13" s="47"/>
      <c r="T13" s="47"/>
      <c r="U13" s="47"/>
      <c r="V13" s="47"/>
      <c r="W13" s="47"/>
      <c r="X13" s="47"/>
      <c r="Y13" s="47"/>
      <c r="Z13" s="47"/>
      <c r="AA13" s="47"/>
      <c r="AB13" s="47"/>
      <c r="AC13" s="47"/>
      <c r="AD13" s="47"/>
      <c r="AE13" s="47"/>
      <c r="AF13" s="47"/>
      <c r="AG13" s="47"/>
      <c r="AH13" s="47"/>
      <c r="AI13" s="47"/>
      <c r="AJ13" s="47"/>
    </row>
    <row r="14" spans="1:36" ht="15.75" thickBot="1">
      <c r="A14" s="47"/>
      <c r="B14" s="50"/>
      <c r="C14" s="51"/>
      <c r="D14" s="52"/>
      <c r="E14" s="52"/>
      <c r="F14" s="52"/>
      <c r="G14" s="52"/>
      <c r="H14" s="52"/>
      <c r="I14" s="52"/>
      <c r="J14" s="53"/>
      <c r="K14" s="50"/>
      <c r="L14" s="50"/>
      <c r="M14" s="50"/>
      <c r="N14" s="47"/>
      <c r="O14" s="47"/>
      <c r="P14" s="47"/>
      <c r="Q14" s="47"/>
      <c r="R14" s="47"/>
      <c r="S14" s="47"/>
      <c r="T14" s="47"/>
      <c r="U14" s="47"/>
      <c r="V14" s="47"/>
      <c r="W14" s="47"/>
      <c r="X14" s="47"/>
      <c r="Y14" s="47"/>
      <c r="Z14" s="47"/>
      <c r="AA14" s="47"/>
      <c r="AB14" s="47"/>
      <c r="AC14" s="47"/>
      <c r="AD14" s="47"/>
      <c r="AE14" s="47"/>
      <c r="AF14" s="47"/>
      <c r="AG14" s="47"/>
      <c r="AH14" s="47"/>
      <c r="AI14" s="47"/>
      <c r="AJ14" s="47"/>
    </row>
    <row r="15" spans="1:36" ht="15.75" thickBot="1">
      <c r="A15" s="47"/>
      <c r="B15" s="50"/>
      <c r="C15" s="54"/>
      <c r="D15" s="59">
        <v>123</v>
      </c>
      <c r="E15" s="60" t="s">
        <v>213</v>
      </c>
      <c r="F15" s="50" t="s">
        <v>704</v>
      </c>
      <c r="G15" s="50"/>
      <c r="H15" s="50"/>
      <c r="I15" s="50"/>
      <c r="J15" s="55"/>
      <c r="K15" s="50"/>
      <c r="L15" s="50"/>
      <c r="M15" s="50"/>
      <c r="N15" s="47"/>
      <c r="O15" s="47"/>
      <c r="P15" s="47"/>
      <c r="Q15" s="47"/>
      <c r="R15" s="47"/>
      <c r="S15" s="47"/>
      <c r="T15" s="47"/>
      <c r="U15" s="47"/>
      <c r="V15" s="47"/>
      <c r="W15" s="47"/>
      <c r="X15" s="47"/>
      <c r="Y15" s="47"/>
      <c r="Z15" s="47"/>
      <c r="AA15" s="47"/>
      <c r="AB15" s="47"/>
      <c r="AC15" s="47"/>
      <c r="AD15" s="47"/>
      <c r="AE15" s="47"/>
      <c r="AF15" s="47"/>
      <c r="AG15" s="47"/>
      <c r="AH15" s="47"/>
      <c r="AI15" s="47"/>
      <c r="AJ15" s="47"/>
    </row>
    <row r="16" spans="1:36">
      <c r="A16" s="47"/>
      <c r="B16" s="50"/>
      <c r="C16" s="54"/>
      <c r="D16" s="60">
        <v>123</v>
      </c>
      <c r="E16" s="60" t="s">
        <v>705</v>
      </c>
      <c r="F16" s="50" t="s">
        <v>706</v>
      </c>
      <c r="G16" s="50"/>
      <c r="H16" s="50"/>
      <c r="I16" s="50"/>
      <c r="J16" s="55"/>
      <c r="K16" s="50"/>
      <c r="L16" s="50"/>
      <c r="M16" s="50"/>
      <c r="N16" s="47"/>
      <c r="O16" s="47"/>
      <c r="P16" s="47"/>
      <c r="Q16" s="47"/>
      <c r="R16" s="47"/>
      <c r="S16" s="47"/>
      <c r="T16" s="47"/>
      <c r="U16" s="47"/>
      <c r="V16" s="47"/>
      <c r="W16" s="47"/>
      <c r="X16" s="47"/>
      <c r="Y16" s="47"/>
      <c r="Z16" s="47"/>
      <c r="AA16" s="47"/>
      <c r="AB16" s="47"/>
      <c r="AC16" s="47"/>
      <c r="AD16" s="47"/>
      <c r="AE16" s="47"/>
      <c r="AF16" s="47"/>
      <c r="AG16" s="47"/>
      <c r="AH16" s="47"/>
      <c r="AI16" s="47"/>
      <c r="AJ16" s="47"/>
    </row>
    <row r="17" spans="1:36">
      <c r="A17" s="47"/>
      <c r="B17" s="50"/>
      <c r="C17" s="54"/>
      <c r="D17" s="61">
        <v>3.6</v>
      </c>
      <c r="E17" s="61" t="s">
        <v>620</v>
      </c>
      <c r="F17" s="50" t="s">
        <v>707</v>
      </c>
      <c r="G17" s="50"/>
      <c r="H17" s="50"/>
      <c r="I17" s="50"/>
      <c r="J17" s="55"/>
      <c r="K17" s="50"/>
      <c r="L17" s="50"/>
      <c r="M17" s="50"/>
      <c r="N17" s="47"/>
      <c r="O17" s="47"/>
      <c r="P17" s="47"/>
      <c r="Q17" s="47"/>
      <c r="R17" s="47"/>
      <c r="S17" s="47"/>
      <c r="T17" s="47"/>
      <c r="U17" s="47"/>
      <c r="V17" s="47"/>
      <c r="W17" s="47"/>
      <c r="X17" s="47"/>
      <c r="Y17" s="47"/>
      <c r="Z17" s="47"/>
      <c r="AA17" s="47"/>
      <c r="AB17" s="47"/>
      <c r="AC17" s="47"/>
      <c r="AD17" s="47"/>
      <c r="AE17" s="47"/>
      <c r="AF17" s="47"/>
      <c r="AG17" s="47"/>
      <c r="AH17" s="47"/>
      <c r="AI17" s="47"/>
      <c r="AJ17" s="47"/>
    </row>
    <row r="18" spans="1:36">
      <c r="A18" s="47"/>
      <c r="B18" s="50"/>
      <c r="C18" s="54"/>
      <c r="D18" s="50"/>
      <c r="E18" s="50"/>
      <c r="F18" s="50"/>
      <c r="G18" s="50"/>
      <c r="H18" s="50"/>
      <c r="I18" s="50"/>
      <c r="J18" s="55"/>
      <c r="K18" s="50"/>
      <c r="L18" s="50"/>
      <c r="M18" s="50"/>
      <c r="N18" s="47"/>
      <c r="O18" s="47"/>
      <c r="P18" s="47"/>
      <c r="Q18" s="47"/>
      <c r="R18" s="47"/>
      <c r="S18" s="47"/>
      <c r="T18" s="47"/>
      <c r="U18" s="47"/>
      <c r="V18" s="47"/>
      <c r="W18" s="47"/>
      <c r="X18" s="47"/>
      <c r="Y18" s="47"/>
      <c r="Z18" s="47"/>
      <c r="AA18" s="47"/>
      <c r="AB18" s="47"/>
      <c r="AC18" s="47"/>
      <c r="AD18" s="47"/>
      <c r="AE18" s="47"/>
      <c r="AF18" s="47"/>
      <c r="AG18" s="47"/>
      <c r="AH18" s="47"/>
      <c r="AI18" s="47"/>
      <c r="AJ18" s="47"/>
    </row>
    <row r="19" spans="1:36">
      <c r="A19" s="47"/>
      <c r="B19" s="50"/>
      <c r="C19" s="54"/>
      <c r="D19" s="62" t="s">
        <v>708</v>
      </c>
      <c r="E19" s="50"/>
      <c r="F19" s="50"/>
      <c r="G19" s="50"/>
      <c r="H19" s="50"/>
      <c r="I19" s="50"/>
      <c r="J19" s="55"/>
      <c r="K19" s="50"/>
      <c r="L19" s="50"/>
      <c r="M19" s="50"/>
      <c r="N19" s="47"/>
      <c r="O19" s="47"/>
      <c r="P19" s="47"/>
      <c r="Q19" s="47"/>
      <c r="R19" s="47"/>
      <c r="S19" s="47"/>
      <c r="T19" s="47"/>
      <c r="U19" s="47"/>
      <c r="V19" s="47"/>
      <c r="W19" s="47"/>
      <c r="X19" s="47"/>
      <c r="Y19" s="47"/>
      <c r="Z19" s="47"/>
      <c r="AA19" s="47"/>
      <c r="AB19" s="47"/>
      <c r="AC19" s="47"/>
      <c r="AD19" s="47"/>
      <c r="AE19" s="47"/>
      <c r="AF19" s="47"/>
      <c r="AG19" s="47"/>
      <c r="AH19" s="47"/>
      <c r="AI19" s="47"/>
      <c r="AJ19" s="47"/>
    </row>
    <row r="20" spans="1:36">
      <c r="A20" s="47"/>
      <c r="B20" s="47"/>
      <c r="C20" s="54"/>
      <c r="D20" s="63" t="s">
        <v>18</v>
      </c>
      <c r="E20" s="50"/>
      <c r="F20" s="64" t="s">
        <v>642</v>
      </c>
      <c r="G20" s="50"/>
      <c r="H20" s="50"/>
      <c r="I20" s="50"/>
      <c r="J20" s="55"/>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row>
    <row r="21" spans="1:36">
      <c r="A21" s="47"/>
      <c r="B21" s="47"/>
      <c r="C21" s="54"/>
      <c r="D21" s="65" t="s">
        <v>637</v>
      </c>
      <c r="E21" s="50"/>
      <c r="F21" s="66" t="s">
        <v>638</v>
      </c>
      <c r="G21" s="50"/>
      <c r="H21" s="50"/>
      <c r="I21" s="50"/>
      <c r="J21" s="55"/>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row>
    <row r="22" spans="1:36">
      <c r="A22" s="47"/>
      <c r="B22" s="47"/>
      <c r="C22" s="54"/>
      <c r="D22" s="67" t="s">
        <v>636</v>
      </c>
      <c r="E22" s="50"/>
      <c r="F22" s="68" t="s">
        <v>639</v>
      </c>
      <c r="G22" s="50"/>
      <c r="H22" s="50"/>
      <c r="I22" s="50"/>
      <c r="J22" s="55"/>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row>
    <row r="23" spans="1:36">
      <c r="A23" s="47"/>
      <c r="B23" s="47"/>
      <c r="C23" s="54"/>
      <c r="D23" s="69" t="s">
        <v>709</v>
      </c>
      <c r="E23" s="50"/>
      <c r="F23" s="70" t="s">
        <v>710</v>
      </c>
      <c r="G23" s="50"/>
      <c r="H23" s="50"/>
      <c r="I23" s="50"/>
      <c r="J23" s="55"/>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row>
    <row r="24" spans="1:36">
      <c r="A24" s="47"/>
      <c r="B24" s="47"/>
      <c r="C24" s="54"/>
      <c r="D24" s="71" t="s">
        <v>608</v>
      </c>
      <c r="E24" s="50"/>
      <c r="F24" s="72" t="s">
        <v>711</v>
      </c>
      <c r="G24" s="50"/>
      <c r="H24" s="50"/>
      <c r="I24" s="50"/>
      <c r="J24" s="55"/>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row>
    <row r="25" spans="1:36">
      <c r="A25" s="47"/>
      <c r="B25" s="47"/>
      <c r="C25" s="54"/>
      <c r="D25" s="71" t="s">
        <v>712</v>
      </c>
      <c r="E25" s="50"/>
      <c r="F25" s="50"/>
      <c r="G25" s="50"/>
      <c r="H25" s="50"/>
      <c r="I25" s="50"/>
      <c r="J25" s="55"/>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row>
    <row r="26" spans="1:36">
      <c r="A26" s="47"/>
      <c r="B26" s="47"/>
      <c r="C26" s="54"/>
      <c r="D26" s="73" t="s">
        <v>614</v>
      </c>
      <c r="E26" s="50"/>
      <c r="F26" s="50"/>
      <c r="G26" s="50"/>
      <c r="H26" s="50"/>
      <c r="I26" s="50"/>
      <c r="J26" s="55"/>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row>
    <row r="27" spans="1:36">
      <c r="A27" s="47"/>
      <c r="B27" s="47"/>
      <c r="C27" s="56"/>
      <c r="D27" s="57"/>
      <c r="E27" s="57"/>
      <c r="F27" s="57"/>
      <c r="G27" s="57"/>
      <c r="H27" s="57"/>
      <c r="I27" s="57"/>
      <c r="J27" s="58"/>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row>
    <row r="28" spans="1:36">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row>
    <row r="29" spans="1:36">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row>
    <row r="30" spans="1:36" ht="23.25">
      <c r="A30" s="47"/>
      <c r="B30" s="49" t="s">
        <v>713</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row>
    <row r="31" spans="1:36" s="9" customFormat="1" ht="45" customHeight="1">
      <c r="A31" s="74"/>
      <c r="B31" s="422" t="s">
        <v>714</v>
      </c>
      <c r="C31" s="422"/>
      <c r="D31" s="75"/>
      <c r="E31" s="422" t="s">
        <v>698</v>
      </c>
      <c r="F31" s="422"/>
      <c r="G31" s="422"/>
      <c r="H31" s="422"/>
      <c r="I31" s="75"/>
      <c r="J31" s="422" t="s">
        <v>715</v>
      </c>
      <c r="K31" s="422"/>
      <c r="L31" s="422"/>
      <c r="M31" s="422"/>
      <c r="N31" s="75"/>
      <c r="O31" s="422" t="s">
        <v>716</v>
      </c>
      <c r="P31" s="422"/>
      <c r="Q31" s="422"/>
      <c r="R31" s="422"/>
      <c r="S31" s="75"/>
      <c r="T31" s="422" t="s">
        <v>717</v>
      </c>
      <c r="U31" s="422"/>
      <c r="V31" s="422"/>
      <c r="W31" s="422"/>
      <c r="X31" s="74"/>
      <c r="Y31" s="422" t="s">
        <v>718</v>
      </c>
      <c r="Z31" s="422"/>
      <c r="AA31" s="422"/>
      <c r="AB31" s="422"/>
      <c r="AC31" s="74"/>
      <c r="AD31" s="422" t="s">
        <v>719</v>
      </c>
      <c r="AE31" s="422"/>
      <c r="AF31" s="422"/>
      <c r="AG31" s="422"/>
      <c r="AH31" s="74"/>
      <c r="AI31" s="74"/>
      <c r="AJ31" s="74"/>
    </row>
    <row r="32" spans="1:36">
      <c r="A32" s="47"/>
      <c r="B32" s="47"/>
      <c r="C32" s="47"/>
      <c r="D32" s="47"/>
      <c r="E32" s="57" t="s">
        <v>720</v>
      </c>
      <c r="F32" s="57"/>
      <c r="G32" s="57"/>
      <c r="H32" s="57"/>
      <c r="I32" s="47"/>
      <c r="J32" s="57" t="s">
        <v>721</v>
      </c>
      <c r="K32" s="57"/>
      <c r="L32" s="57"/>
      <c r="M32" s="57"/>
      <c r="N32" s="47"/>
      <c r="O32" s="57" t="s">
        <v>722</v>
      </c>
      <c r="P32" s="57"/>
      <c r="Q32" s="57"/>
      <c r="R32" s="57"/>
      <c r="S32" s="47"/>
      <c r="T32" s="76" t="s">
        <v>723</v>
      </c>
      <c r="U32" s="57"/>
      <c r="V32" s="57"/>
      <c r="W32" s="57"/>
      <c r="X32" s="47"/>
      <c r="Y32" s="76" t="s">
        <v>724</v>
      </c>
      <c r="Z32" s="57"/>
      <c r="AA32" s="57"/>
      <c r="AB32" s="57"/>
      <c r="AC32" s="47"/>
      <c r="AD32" s="76" t="s">
        <v>725</v>
      </c>
      <c r="AE32" s="57"/>
      <c r="AF32" s="57"/>
      <c r="AG32" s="57"/>
      <c r="AH32" s="47"/>
      <c r="AI32" s="47"/>
      <c r="AJ32" s="47"/>
    </row>
    <row r="33" spans="1:36">
      <c r="A33" s="47"/>
      <c r="B33" s="47"/>
      <c r="C33" s="47"/>
      <c r="D33" s="77"/>
      <c r="E33" s="47" t="s">
        <v>726</v>
      </c>
      <c r="F33" s="47" t="s">
        <v>727</v>
      </c>
      <c r="G33" s="47" t="s">
        <v>728</v>
      </c>
      <c r="H33" s="47" t="s">
        <v>729</v>
      </c>
      <c r="I33" s="77"/>
      <c r="J33" s="47" t="s">
        <v>726</v>
      </c>
      <c r="K33" s="47" t="s">
        <v>727</v>
      </c>
      <c r="L33" s="47" t="s">
        <v>728</v>
      </c>
      <c r="M33" s="47" t="s">
        <v>730</v>
      </c>
      <c r="N33" s="77"/>
      <c r="O33" s="47"/>
      <c r="P33" s="47"/>
      <c r="Q33" s="47"/>
      <c r="R33" s="47"/>
      <c r="S33" s="77"/>
      <c r="T33" s="47"/>
      <c r="U33" s="47"/>
      <c r="V33" s="47"/>
      <c r="W33" s="47"/>
      <c r="X33" s="77"/>
      <c r="Y33" s="47"/>
      <c r="Z33" s="47"/>
      <c r="AA33" s="47"/>
      <c r="AB33" s="47"/>
      <c r="AC33" s="77"/>
      <c r="AD33" s="47"/>
      <c r="AE33" s="47"/>
      <c r="AF33" s="47"/>
      <c r="AG33" s="47"/>
      <c r="AH33" s="77"/>
      <c r="AI33" s="47"/>
      <c r="AJ33" s="47"/>
    </row>
    <row r="34" spans="1:36">
      <c r="A34" s="47"/>
      <c r="B34" s="47"/>
      <c r="C34" s="47"/>
      <c r="D34" s="77"/>
      <c r="E34" s="47"/>
      <c r="F34" s="47"/>
      <c r="G34" s="47"/>
      <c r="H34" s="47"/>
      <c r="I34" s="77"/>
      <c r="J34" s="47"/>
      <c r="K34" s="47"/>
      <c r="L34" s="47"/>
      <c r="M34" s="47"/>
      <c r="N34" s="77"/>
      <c r="O34" s="47"/>
      <c r="P34" s="47"/>
      <c r="Q34" s="47"/>
      <c r="R34" s="47"/>
      <c r="S34" s="77"/>
      <c r="T34" s="78"/>
      <c r="U34" s="47"/>
      <c r="V34" s="47"/>
      <c r="W34" s="47"/>
      <c r="X34" s="77"/>
      <c r="Y34" s="47"/>
      <c r="Z34" s="47"/>
      <c r="AA34" s="47"/>
      <c r="AB34" s="47"/>
      <c r="AC34" s="77"/>
      <c r="AD34" s="47"/>
      <c r="AE34" s="47"/>
      <c r="AF34" s="47"/>
      <c r="AG34" s="47"/>
      <c r="AH34" s="77"/>
      <c r="AI34" s="47"/>
      <c r="AJ34" s="47"/>
    </row>
    <row r="35" spans="1:36" ht="15.75" thickBot="1">
      <c r="A35" s="47"/>
      <c r="B35" s="79" t="s">
        <v>595</v>
      </c>
      <c r="C35" s="47"/>
      <c r="D35" s="77"/>
      <c r="E35" s="79" t="s">
        <v>595</v>
      </c>
      <c r="F35" s="47"/>
      <c r="G35" s="47"/>
      <c r="H35" s="47"/>
      <c r="I35" s="77"/>
      <c r="J35" s="79" t="s">
        <v>595</v>
      </c>
      <c r="K35" s="47"/>
      <c r="L35" s="47"/>
      <c r="M35" s="47"/>
      <c r="N35" s="77"/>
      <c r="O35" s="78"/>
      <c r="P35" s="47"/>
      <c r="Q35" s="80"/>
      <c r="R35" s="47"/>
      <c r="S35" s="77"/>
      <c r="T35" s="78"/>
      <c r="U35" s="47"/>
      <c r="V35" s="80"/>
      <c r="W35" s="47"/>
      <c r="X35" s="77"/>
      <c r="Y35" s="78"/>
      <c r="Z35" s="47"/>
      <c r="AA35" s="47"/>
      <c r="AB35" s="47"/>
      <c r="AC35" s="77"/>
      <c r="AD35" s="79" t="s">
        <v>595</v>
      </c>
      <c r="AE35" s="47"/>
      <c r="AF35" s="47"/>
      <c r="AG35" s="47"/>
      <c r="AH35" s="77"/>
      <c r="AI35" s="47"/>
      <c r="AJ35" s="47"/>
    </row>
    <row r="36" spans="1:36" ht="15.75" thickBot="1">
      <c r="A36" s="47"/>
      <c r="B36" s="47" t="s">
        <v>661</v>
      </c>
      <c r="C36" s="47"/>
      <c r="D36" s="77"/>
      <c r="E36" s="81" t="s">
        <v>18</v>
      </c>
      <c r="F36" s="82">
        <f>2069</f>
        <v>2069</v>
      </c>
      <c r="G36" s="47" t="s">
        <v>731</v>
      </c>
      <c r="H36" s="47" t="s">
        <v>732</v>
      </c>
      <c r="I36" s="77"/>
      <c r="J36" s="81" t="s">
        <v>18</v>
      </c>
      <c r="K36" s="83">
        <f>F36*K37</f>
        <v>7448.4000000000005</v>
      </c>
      <c r="L36" s="84" t="s">
        <v>705</v>
      </c>
      <c r="M36" s="47"/>
      <c r="N36" s="77"/>
      <c r="O36" s="81" t="s">
        <v>18</v>
      </c>
      <c r="P36" s="83">
        <f>K36+K48+K63+K82</f>
        <v>25416.000000000004</v>
      </c>
      <c r="Q36" s="84" t="s">
        <v>705</v>
      </c>
      <c r="R36" s="47"/>
      <c r="S36" s="77"/>
      <c r="T36" s="85" t="s">
        <v>636</v>
      </c>
      <c r="U36" s="86">
        <f>$P$36*U37/U38</f>
        <v>32405.4</v>
      </c>
      <c r="V36" s="84" t="s">
        <v>705</v>
      </c>
      <c r="W36" s="47"/>
      <c r="X36" s="77"/>
      <c r="Y36" s="85" t="s">
        <v>636</v>
      </c>
      <c r="Z36" s="86">
        <f>U36</f>
        <v>32405.4</v>
      </c>
      <c r="AA36" s="84" t="s">
        <v>705</v>
      </c>
      <c r="AB36" s="47"/>
      <c r="AC36" s="77"/>
      <c r="AD36" s="47" t="s">
        <v>733</v>
      </c>
      <c r="AE36" s="47"/>
      <c r="AF36" s="87">
        <f>K36*$U$70</f>
        <v>19735.304285714286</v>
      </c>
      <c r="AG36" s="84" t="s">
        <v>705</v>
      </c>
      <c r="AH36" s="77"/>
      <c r="AI36" s="47"/>
      <c r="AJ36" s="47"/>
    </row>
    <row r="37" spans="1:36" ht="15.75" thickBot="1">
      <c r="A37" s="47"/>
      <c r="B37" s="47" t="s">
        <v>671</v>
      </c>
      <c r="C37" s="47"/>
      <c r="D37" s="77"/>
      <c r="E37" s="88"/>
      <c r="F37" s="47"/>
      <c r="G37" s="47"/>
      <c r="H37" s="47"/>
      <c r="I37" s="77"/>
      <c r="J37" s="78"/>
      <c r="K37" s="89">
        <v>3.6</v>
      </c>
      <c r="L37" s="88" t="s">
        <v>734</v>
      </c>
      <c r="M37" s="88" t="s">
        <v>735</v>
      </c>
      <c r="N37" s="77"/>
      <c r="O37" s="78"/>
      <c r="P37" s="47"/>
      <c r="Q37" s="47"/>
      <c r="R37" s="47"/>
      <c r="S37" s="77"/>
      <c r="T37" s="78"/>
      <c r="U37" s="90">
        <v>0.51</v>
      </c>
      <c r="V37" s="88" t="s">
        <v>736</v>
      </c>
      <c r="W37" s="47"/>
      <c r="X37" s="77"/>
      <c r="Y37" s="78"/>
      <c r="Z37" s="47"/>
      <c r="AA37" s="47"/>
      <c r="AB37" s="47"/>
      <c r="AC37" s="77"/>
      <c r="AD37" s="47" t="s">
        <v>737</v>
      </c>
      <c r="AE37" s="57"/>
      <c r="AF37" s="91">
        <f>SUM(K39,K43)</f>
        <v>5747.7133999999996</v>
      </c>
      <c r="AG37" s="92" t="s">
        <v>705</v>
      </c>
      <c r="AH37" s="77"/>
      <c r="AI37" s="47"/>
      <c r="AJ37" s="47"/>
    </row>
    <row r="38" spans="1:36" ht="15.75" thickBot="1">
      <c r="A38" s="47"/>
      <c r="B38" s="47" t="s">
        <v>676</v>
      </c>
      <c r="C38" s="47"/>
      <c r="D38" s="77"/>
      <c r="E38" s="88"/>
      <c r="F38" s="47"/>
      <c r="G38" s="47"/>
      <c r="H38" s="47"/>
      <c r="I38" s="77"/>
      <c r="J38" s="78"/>
      <c r="K38" s="47"/>
      <c r="L38" s="47"/>
      <c r="M38" s="47"/>
      <c r="N38" s="77"/>
      <c r="O38" s="78"/>
      <c r="P38" s="47"/>
      <c r="Q38" s="47"/>
      <c r="R38" s="47"/>
      <c r="S38" s="77"/>
      <c r="T38" s="78"/>
      <c r="U38" s="90">
        <v>0.4</v>
      </c>
      <c r="V38" s="88" t="s">
        <v>738</v>
      </c>
      <c r="W38" s="47"/>
      <c r="X38" s="77"/>
      <c r="Y38" s="93" t="s">
        <v>637</v>
      </c>
      <c r="Z38" s="94">
        <f>U40</f>
        <v>32677.714285714294</v>
      </c>
      <c r="AA38" s="84" t="s">
        <v>705</v>
      </c>
      <c r="AB38" s="47"/>
      <c r="AC38" s="77"/>
      <c r="AD38" s="47"/>
      <c r="AE38" s="95" t="s">
        <v>579</v>
      </c>
      <c r="AF38" s="96">
        <f>SUM(AF36:AF37)</f>
        <v>25483.017685714287</v>
      </c>
      <c r="AG38" s="97" t="s">
        <v>705</v>
      </c>
      <c r="AH38" s="77"/>
      <c r="AI38" s="47"/>
      <c r="AJ38" s="47"/>
    </row>
    <row r="39" spans="1:36" ht="15.75" thickBot="1">
      <c r="A39" s="47"/>
      <c r="B39" s="47" t="s">
        <v>653</v>
      </c>
      <c r="C39" s="47"/>
      <c r="D39" s="77"/>
      <c r="E39" s="98" t="s">
        <v>614</v>
      </c>
      <c r="F39" s="99">
        <v>116478</v>
      </c>
      <c r="G39" s="47" t="s">
        <v>739</v>
      </c>
      <c r="H39" s="47" t="s">
        <v>740</v>
      </c>
      <c r="I39" s="77"/>
      <c r="J39" s="98" t="s">
        <v>614</v>
      </c>
      <c r="K39" s="100">
        <f>F39*K40*K41/1000000</f>
        <v>5742.3653999999997</v>
      </c>
      <c r="L39" s="84" t="s">
        <v>705</v>
      </c>
      <c r="M39" s="47"/>
      <c r="N39" s="77"/>
      <c r="O39" s="98" t="s">
        <v>614</v>
      </c>
      <c r="P39" s="100">
        <f>K39+K51</f>
        <v>7110.7855</v>
      </c>
      <c r="Q39" s="84" t="s">
        <v>705</v>
      </c>
      <c r="R39" s="47"/>
      <c r="S39" s="77"/>
      <c r="T39" s="78"/>
      <c r="U39" s="47"/>
      <c r="V39" s="47"/>
      <c r="W39" s="47"/>
      <c r="X39" s="77"/>
      <c r="Y39" s="78"/>
      <c r="Z39" s="47"/>
      <c r="AA39" s="47"/>
      <c r="AB39" s="47"/>
      <c r="AC39" s="77"/>
      <c r="AD39" s="47"/>
      <c r="AE39" s="47"/>
      <c r="AF39" s="47"/>
      <c r="AG39" s="47"/>
      <c r="AH39" s="77"/>
      <c r="AI39" s="47"/>
      <c r="AJ39" s="47"/>
    </row>
    <row r="40" spans="1:36" ht="15.75" thickBot="1">
      <c r="A40" s="47"/>
      <c r="B40" s="47" t="s">
        <v>658</v>
      </c>
      <c r="C40" s="47"/>
      <c r="D40" s="77"/>
      <c r="E40" s="88"/>
      <c r="F40" s="47"/>
      <c r="G40" s="47"/>
      <c r="H40" s="47"/>
      <c r="I40" s="77"/>
      <c r="J40" s="88"/>
      <c r="K40" s="89">
        <v>1000</v>
      </c>
      <c r="L40" s="88" t="s">
        <v>741</v>
      </c>
      <c r="M40" s="88" t="s">
        <v>735</v>
      </c>
      <c r="N40" s="77"/>
      <c r="O40" s="78"/>
      <c r="P40" s="101"/>
      <c r="Q40" s="47"/>
      <c r="R40" s="47"/>
      <c r="S40" s="77"/>
      <c r="T40" s="93" t="s">
        <v>637</v>
      </c>
      <c r="U40" s="94">
        <f>$P$36*U41/U42</f>
        <v>32677.714285714294</v>
      </c>
      <c r="V40" s="84" t="s">
        <v>705</v>
      </c>
      <c r="W40" s="47"/>
      <c r="X40" s="77"/>
      <c r="Y40" s="102" t="s">
        <v>608</v>
      </c>
      <c r="Z40" s="103">
        <f>P42+U44</f>
        <v>4963.3780000000006</v>
      </c>
      <c r="AA40" s="84" t="s">
        <v>705</v>
      </c>
      <c r="AB40" s="47"/>
      <c r="AC40" s="77"/>
      <c r="AD40" s="104" t="s">
        <v>597</v>
      </c>
      <c r="AE40" s="47"/>
      <c r="AF40" s="47"/>
      <c r="AG40" s="84"/>
      <c r="AH40" s="77"/>
      <c r="AI40" s="47"/>
      <c r="AJ40" s="47"/>
    </row>
    <row r="41" spans="1:36" ht="15.75" thickBot="1">
      <c r="A41" s="47"/>
      <c r="B41" s="47" t="s">
        <v>680</v>
      </c>
      <c r="C41" s="47"/>
      <c r="D41" s="77"/>
      <c r="E41" s="88"/>
      <c r="F41" s="47"/>
      <c r="G41" s="47"/>
      <c r="H41" s="47"/>
      <c r="I41" s="77"/>
      <c r="J41" s="88"/>
      <c r="K41" s="89">
        <v>49.3</v>
      </c>
      <c r="L41" s="88" t="s">
        <v>742</v>
      </c>
      <c r="M41" s="88" t="s">
        <v>735</v>
      </c>
      <c r="N41" s="77"/>
      <c r="O41" s="78"/>
      <c r="P41" s="101"/>
      <c r="Q41" s="47"/>
      <c r="R41" s="47"/>
      <c r="S41" s="77"/>
      <c r="T41" s="78"/>
      <c r="U41" s="90">
        <v>0.45</v>
      </c>
      <c r="V41" s="88" t="s">
        <v>736</v>
      </c>
      <c r="W41" s="47"/>
      <c r="X41" s="77"/>
      <c r="Y41" s="78"/>
      <c r="Z41" s="47"/>
      <c r="AA41" s="47"/>
      <c r="AB41" s="47"/>
      <c r="AC41" s="77"/>
      <c r="AD41" s="47" t="s">
        <v>733</v>
      </c>
      <c r="AE41" s="47"/>
      <c r="AF41" s="87">
        <f>K48*$U$70</f>
        <v>28157.86285714286</v>
      </c>
      <c r="AG41" s="84" t="s">
        <v>705</v>
      </c>
      <c r="AH41" s="77"/>
      <c r="AI41" s="47"/>
      <c r="AJ41" s="47"/>
    </row>
    <row r="42" spans="1:36" ht="15.75" thickBot="1">
      <c r="A42" s="47"/>
      <c r="B42" s="47"/>
      <c r="C42" s="47"/>
      <c r="D42" s="77"/>
      <c r="E42" s="88"/>
      <c r="F42" s="47"/>
      <c r="G42" s="47"/>
      <c r="H42" s="47"/>
      <c r="I42" s="77"/>
      <c r="J42" s="88"/>
      <c r="K42" s="47"/>
      <c r="L42" s="47"/>
      <c r="M42" s="47"/>
      <c r="N42" s="77"/>
      <c r="O42" s="102" t="s">
        <v>743</v>
      </c>
      <c r="P42" s="103">
        <f>K43+K55+K66</f>
        <v>2704.1779999999999</v>
      </c>
      <c r="Q42" s="84" t="s">
        <v>705</v>
      </c>
      <c r="R42" s="47"/>
      <c r="S42" s="77"/>
      <c r="T42" s="78"/>
      <c r="U42" s="90">
        <v>0.35</v>
      </c>
      <c r="V42" s="88" t="s">
        <v>738</v>
      </c>
      <c r="W42" s="47"/>
      <c r="X42" s="77"/>
      <c r="Y42" s="105" t="s">
        <v>744</v>
      </c>
      <c r="Z42" s="106">
        <f>P45+U48</f>
        <v>23533.171400000003</v>
      </c>
      <c r="AA42" s="84" t="s">
        <v>705</v>
      </c>
      <c r="AB42" s="47"/>
      <c r="AC42" s="77"/>
      <c r="AD42" s="47" t="s">
        <v>737</v>
      </c>
      <c r="AE42" s="57"/>
      <c r="AF42" s="91">
        <f>SUM(K51,K55,K58)</f>
        <v>6218.1000999999997</v>
      </c>
      <c r="AG42" s="92" t="s">
        <v>705</v>
      </c>
      <c r="AH42" s="77"/>
      <c r="AI42" s="47"/>
      <c r="AJ42" s="47"/>
    </row>
    <row r="43" spans="1:36" ht="15.75" thickBot="1">
      <c r="A43" s="47"/>
      <c r="B43" s="47"/>
      <c r="C43" s="47"/>
      <c r="D43" s="77"/>
      <c r="E43" s="102" t="s">
        <v>743</v>
      </c>
      <c r="F43" s="107">
        <v>140000</v>
      </c>
      <c r="G43" s="47" t="s">
        <v>745</v>
      </c>
      <c r="H43" s="47" t="s">
        <v>740</v>
      </c>
      <c r="I43" s="77"/>
      <c r="J43" s="102" t="s">
        <v>743</v>
      </c>
      <c r="K43" s="103">
        <f>F43*K44/1000000</f>
        <v>5.3479999999999999</v>
      </c>
      <c r="L43" s="84" t="s">
        <v>705</v>
      </c>
      <c r="M43" s="47"/>
      <c r="N43" s="77"/>
      <c r="O43" s="78"/>
      <c r="P43" s="101"/>
      <c r="Q43" s="47"/>
      <c r="R43" s="47"/>
      <c r="S43" s="77"/>
      <c r="T43" s="78"/>
      <c r="U43" s="47"/>
      <c r="V43" s="47"/>
      <c r="W43" s="47"/>
      <c r="X43" s="77"/>
      <c r="Y43" s="78"/>
      <c r="Z43" s="47"/>
      <c r="AA43" s="47"/>
      <c r="AB43" s="47"/>
      <c r="AC43" s="77"/>
      <c r="AD43" s="47"/>
      <c r="AE43" s="95" t="s">
        <v>579</v>
      </c>
      <c r="AF43" s="96">
        <f>SUM(AF41:AF42)</f>
        <v>34375.96295714286</v>
      </c>
      <c r="AG43" s="97" t="s">
        <v>705</v>
      </c>
      <c r="AH43" s="77"/>
      <c r="AI43" s="47"/>
      <c r="AJ43" s="47"/>
    </row>
    <row r="44" spans="1:36" ht="15.75" thickBot="1">
      <c r="A44" s="47"/>
      <c r="B44" s="47"/>
      <c r="C44" s="47"/>
      <c r="D44" s="77"/>
      <c r="E44" s="88"/>
      <c r="F44" s="47"/>
      <c r="G44" s="47"/>
      <c r="H44" s="47"/>
      <c r="I44" s="77"/>
      <c r="J44" s="88"/>
      <c r="K44" s="108">
        <v>38.200000000000003</v>
      </c>
      <c r="L44" s="109" t="s">
        <v>616</v>
      </c>
      <c r="M44" s="88" t="s">
        <v>735</v>
      </c>
      <c r="N44" s="77"/>
      <c r="O44" s="78"/>
      <c r="P44" s="101"/>
      <c r="Q44" s="47"/>
      <c r="R44" s="47"/>
      <c r="S44" s="77"/>
      <c r="T44" s="102" t="s">
        <v>608</v>
      </c>
      <c r="U44" s="103">
        <f>$P$36*U45/U46</f>
        <v>2259.2000000000003</v>
      </c>
      <c r="V44" s="84" t="s">
        <v>705</v>
      </c>
      <c r="W44" s="47"/>
      <c r="X44" s="77"/>
      <c r="Y44" s="98" t="s">
        <v>614</v>
      </c>
      <c r="Z44" s="100">
        <f>P39</f>
        <v>7110.7855</v>
      </c>
      <c r="AA44" s="84" t="s">
        <v>705</v>
      </c>
      <c r="AB44" s="47"/>
      <c r="AC44" s="77"/>
      <c r="AD44" s="47"/>
      <c r="AE44" s="47"/>
      <c r="AF44" s="47"/>
      <c r="AG44" s="47"/>
      <c r="AH44" s="77"/>
      <c r="AI44" s="47"/>
      <c r="AJ44" s="47"/>
    </row>
    <row r="45" spans="1:36" ht="15.75" thickBot="1">
      <c r="A45" s="47"/>
      <c r="B45" s="47"/>
      <c r="C45" s="47"/>
      <c r="D45" s="77"/>
      <c r="E45" s="88"/>
      <c r="F45" s="47"/>
      <c r="G45" s="47"/>
      <c r="H45" s="47"/>
      <c r="I45" s="77"/>
      <c r="J45" s="88"/>
      <c r="K45" s="110">
        <f>K36+K39+K43</f>
        <v>13196.1134</v>
      </c>
      <c r="L45" s="84" t="s">
        <v>705</v>
      </c>
      <c r="M45" s="88" t="s">
        <v>746</v>
      </c>
      <c r="N45" s="77"/>
      <c r="O45" s="105" t="s">
        <v>744</v>
      </c>
      <c r="P45" s="106">
        <f>K58+K71+K74+K79</f>
        <v>23533.171400000003</v>
      </c>
      <c r="Q45" s="84" t="s">
        <v>705</v>
      </c>
      <c r="R45" s="47"/>
      <c r="S45" s="77"/>
      <c r="T45" s="78"/>
      <c r="U45" s="90">
        <v>0.04</v>
      </c>
      <c r="V45" s="88" t="s">
        <v>736</v>
      </c>
      <c r="W45" s="47"/>
      <c r="X45" s="77"/>
      <c r="Y45" s="78"/>
      <c r="Z45" s="47"/>
      <c r="AA45" s="47"/>
      <c r="AB45" s="47"/>
      <c r="AC45" s="77"/>
      <c r="AD45" s="104" t="s">
        <v>596</v>
      </c>
      <c r="AE45" s="47"/>
      <c r="AF45" s="47"/>
      <c r="AG45" s="84"/>
      <c r="AH45" s="77"/>
      <c r="AI45" s="47"/>
      <c r="AJ45" s="47"/>
    </row>
    <row r="46" spans="1:36" ht="15.75" thickBot="1">
      <c r="A46" s="47"/>
      <c r="B46" s="47"/>
      <c r="C46" s="47"/>
      <c r="D46" s="77"/>
      <c r="E46" s="78"/>
      <c r="F46" s="47"/>
      <c r="G46" s="47"/>
      <c r="H46" s="47"/>
      <c r="I46" s="77"/>
      <c r="J46" s="78"/>
      <c r="K46" s="47"/>
      <c r="L46" s="47"/>
      <c r="M46" s="47"/>
      <c r="N46" s="77"/>
      <c r="O46" s="78"/>
      <c r="P46" s="101"/>
      <c r="Q46" s="47"/>
      <c r="R46" s="47"/>
      <c r="S46" s="77"/>
      <c r="T46" s="78"/>
      <c r="U46" s="90">
        <v>0.45</v>
      </c>
      <c r="V46" s="88" t="s">
        <v>738</v>
      </c>
      <c r="W46" s="47"/>
      <c r="X46" s="77"/>
      <c r="Y46" s="111" t="s">
        <v>642</v>
      </c>
      <c r="Z46" s="64">
        <f>U52</f>
        <v>0</v>
      </c>
      <c r="AA46" s="84" t="s">
        <v>705</v>
      </c>
      <c r="AB46" s="47"/>
      <c r="AC46" s="77"/>
      <c r="AD46" s="47" t="s">
        <v>733</v>
      </c>
      <c r="AE46" s="47"/>
      <c r="AF46" s="87">
        <f>K63*$U$70</f>
        <v>18695.599999999999</v>
      </c>
      <c r="AG46" s="84" t="s">
        <v>705</v>
      </c>
      <c r="AH46" s="77"/>
      <c r="AI46" s="47"/>
      <c r="AJ46" s="47"/>
    </row>
    <row r="47" spans="1:36" ht="15.75" thickBot="1">
      <c r="A47" s="47"/>
      <c r="B47" s="79" t="s">
        <v>597</v>
      </c>
      <c r="C47" s="47"/>
      <c r="D47" s="77"/>
      <c r="E47" s="104" t="s">
        <v>597</v>
      </c>
      <c r="F47" s="47"/>
      <c r="G47" s="47"/>
      <c r="H47" s="47"/>
      <c r="I47" s="77"/>
      <c r="J47" s="104" t="s">
        <v>597</v>
      </c>
      <c r="K47" s="47"/>
      <c r="L47" s="47"/>
      <c r="M47" s="47"/>
      <c r="N47" s="77"/>
      <c r="O47" s="78"/>
      <c r="P47" s="47"/>
      <c r="Q47" s="47"/>
      <c r="R47" s="47"/>
      <c r="S47" s="77"/>
      <c r="T47" s="78"/>
      <c r="U47" s="112"/>
      <c r="V47" s="88"/>
      <c r="W47" s="47"/>
      <c r="X47" s="77"/>
      <c r="Y47" s="78"/>
      <c r="Z47" s="47"/>
      <c r="AA47" s="47"/>
      <c r="AB47" s="47"/>
      <c r="AC47" s="77"/>
      <c r="AD47" s="47" t="s">
        <v>737</v>
      </c>
      <c r="AE47" s="57"/>
      <c r="AF47" s="91">
        <f>K66</f>
        <v>40.110000000000007</v>
      </c>
      <c r="AG47" s="92" t="s">
        <v>705</v>
      </c>
      <c r="AH47" s="77"/>
      <c r="AI47" s="47"/>
      <c r="AJ47" s="47"/>
    </row>
    <row r="48" spans="1:36" ht="15.75" thickBot="1">
      <c r="A48" s="47"/>
      <c r="B48" s="47" t="s">
        <v>661</v>
      </c>
      <c r="C48" s="47"/>
      <c r="D48" s="77"/>
      <c r="E48" s="81" t="s">
        <v>18</v>
      </c>
      <c r="F48" s="82">
        <v>2952</v>
      </c>
      <c r="G48" s="47" t="s">
        <v>731</v>
      </c>
      <c r="H48" s="47" t="s">
        <v>732</v>
      </c>
      <c r="I48" s="77"/>
      <c r="J48" s="81" t="s">
        <v>18</v>
      </c>
      <c r="K48" s="83">
        <f>F48*K49</f>
        <v>10627.2</v>
      </c>
      <c r="L48" s="84" t="s">
        <v>705</v>
      </c>
      <c r="M48" s="47"/>
      <c r="N48" s="77"/>
      <c r="O48" s="78"/>
      <c r="P48" s="47"/>
      <c r="Q48" s="47"/>
      <c r="R48" s="47"/>
      <c r="S48" s="77"/>
      <c r="T48" s="105" t="s">
        <v>744</v>
      </c>
      <c r="U48" s="106">
        <f>$P$36*U49/U50</f>
        <v>0</v>
      </c>
      <c r="V48" s="84" t="s">
        <v>705</v>
      </c>
      <c r="W48" s="47"/>
      <c r="X48" s="77"/>
      <c r="Y48" s="113" t="s">
        <v>638</v>
      </c>
      <c r="Z48" s="66">
        <f>U55</f>
        <v>0</v>
      </c>
      <c r="AA48" s="84" t="s">
        <v>705</v>
      </c>
      <c r="AB48" s="47"/>
      <c r="AC48" s="77"/>
      <c r="AD48" s="47"/>
      <c r="AE48" s="95" t="s">
        <v>579</v>
      </c>
      <c r="AF48" s="96">
        <f>SUM(AF46:AF47)</f>
        <v>18735.71</v>
      </c>
      <c r="AG48" s="97" t="s">
        <v>705</v>
      </c>
      <c r="AH48" s="77"/>
      <c r="AI48" s="47"/>
      <c r="AJ48" s="47"/>
    </row>
    <row r="49" spans="1:36" ht="15.75" thickBot="1">
      <c r="A49" s="47"/>
      <c r="B49" s="47" t="s">
        <v>650</v>
      </c>
      <c r="C49" s="47"/>
      <c r="D49" s="77"/>
      <c r="E49" s="88"/>
      <c r="F49" s="47"/>
      <c r="G49" s="47"/>
      <c r="H49" s="47"/>
      <c r="I49" s="77"/>
      <c r="J49" s="88"/>
      <c r="K49" s="89">
        <v>3.6</v>
      </c>
      <c r="L49" s="88" t="s">
        <v>734</v>
      </c>
      <c r="M49" s="88" t="s">
        <v>735</v>
      </c>
      <c r="N49" s="77"/>
      <c r="O49" s="47"/>
      <c r="P49" s="47"/>
      <c r="Q49" s="47"/>
      <c r="R49" s="47"/>
      <c r="S49" s="77"/>
      <c r="T49" s="78"/>
      <c r="U49" s="90">
        <v>0</v>
      </c>
      <c r="V49" s="88" t="s">
        <v>736</v>
      </c>
      <c r="W49" s="47"/>
      <c r="X49" s="77"/>
      <c r="Y49" s="78"/>
      <c r="Z49" s="47"/>
      <c r="AA49" s="47"/>
      <c r="AB49" s="47"/>
      <c r="AC49" s="77"/>
      <c r="AD49" s="47"/>
      <c r="AE49" s="47"/>
      <c r="AF49" s="47"/>
      <c r="AG49" s="47"/>
      <c r="AH49" s="77"/>
      <c r="AI49" s="47"/>
      <c r="AJ49" s="47"/>
    </row>
    <row r="50" spans="1:36" ht="15.75" thickBot="1">
      <c r="A50" s="47"/>
      <c r="B50" s="47" t="s">
        <v>666</v>
      </c>
      <c r="C50" s="47"/>
      <c r="D50" s="77"/>
      <c r="E50" s="88"/>
      <c r="F50" s="47"/>
      <c r="G50" s="47"/>
      <c r="H50" s="47"/>
      <c r="I50" s="77"/>
      <c r="J50" s="88"/>
      <c r="K50" s="47"/>
      <c r="L50" s="47"/>
      <c r="M50" s="47"/>
      <c r="N50" s="77"/>
      <c r="O50" s="47"/>
      <c r="P50" s="47"/>
      <c r="Q50" s="47"/>
      <c r="R50" s="47"/>
      <c r="S50" s="77"/>
      <c r="T50" s="78"/>
      <c r="U50" s="90">
        <v>0.45</v>
      </c>
      <c r="V50" s="88" t="s">
        <v>738</v>
      </c>
      <c r="W50" s="47"/>
      <c r="X50" s="77"/>
      <c r="Y50" s="114" t="s">
        <v>639</v>
      </c>
      <c r="Z50" s="68">
        <f>U58</f>
        <v>0</v>
      </c>
      <c r="AA50" s="84" t="s">
        <v>705</v>
      </c>
      <c r="AB50" s="47"/>
      <c r="AC50" s="77"/>
      <c r="AD50" s="104" t="s">
        <v>628</v>
      </c>
      <c r="AE50" s="47"/>
      <c r="AF50" s="47"/>
      <c r="AG50" s="84"/>
      <c r="AH50" s="77"/>
      <c r="AI50" s="47"/>
      <c r="AJ50" s="47"/>
    </row>
    <row r="51" spans="1:36" ht="15.75" thickBot="1">
      <c r="A51" s="47"/>
      <c r="B51" s="47" t="s">
        <v>653</v>
      </c>
      <c r="C51" s="47"/>
      <c r="D51" s="77"/>
      <c r="E51" s="98" t="s">
        <v>614</v>
      </c>
      <c r="F51" s="99">
        <v>27757</v>
      </c>
      <c r="G51" s="47" t="s">
        <v>601</v>
      </c>
      <c r="H51" s="47" t="s">
        <v>740</v>
      </c>
      <c r="I51" s="77"/>
      <c r="J51" s="98" t="s">
        <v>614</v>
      </c>
      <c r="K51" s="100">
        <f>F51*K52*K53/1000000</f>
        <v>1368.4201</v>
      </c>
      <c r="L51" s="84" t="s">
        <v>705</v>
      </c>
      <c r="M51" s="47"/>
      <c r="N51" s="77"/>
      <c r="O51" s="47"/>
      <c r="P51" s="47"/>
      <c r="Q51" s="47"/>
      <c r="R51" s="47"/>
      <c r="S51" s="77"/>
      <c r="T51" s="78"/>
      <c r="U51" s="47"/>
      <c r="V51" s="47"/>
      <c r="W51" s="47"/>
      <c r="X51" s="77"/>
      <c r="Y51" s="78"/>
      <c r="Z51" s="47"/>
      <c r="AA51" s="47"/>
      <c r="AB51" s="47"/>
      <c r="AC51" s="77"/>
      <c r="AD51" s="47" t="s">
        <v>733</v>
      </c>
      <c r="AE51" s="47"/>
      <c r="AF51" s="87">
        <v>0</v>
      </c>
      <c r="AG51" s="84" t="s">
        <v>705</v>
      </c>
      <c r="AH51" s="77"/>
      <c r="AI51" s="47"/>
      <c r="AJ51" s="47"/>
    </row>
    <row r="52" spans="1:36" ht="15.75" thickBot="1">
      <c r="A52" s="47"/>
      <c r="B52" s="47"/>
      <c r="C52" s="47"/>
      <c r="D52" s="77"/>
      <c r="E52" s="88"/>
      <c r="F52" s="47"/>
      <c r="G52" s="47"/>
      <c r="H52" s="47"/>
      <c r="I52" s="77"/>
      <c r="J52" s="88"/>
      <c r="K52" s="89">
        <v>1000</v>
      </c>
      <c r="L52" s="88" t="s">
        <v>741</v>
      </c>
      <c r="M52" s="88" t="s">
        <v>735</v>
      </c>
      <c r="N52" s="77"/>
      <c r="O52" s="47"/>
      <c r="P52" s="47"/>
      <c r="Q52" s="47"/>
      <c r="R52" s="47"/>
      <c r="S52" s="77"/>
      <c r="T52" s="111" t="s">
        <v>642</v>
      </c>
      <c r="U52" s="64">
        <f>$P$36*U53</f>
        <v>0</v>
      </c>
      <c r="V52" s="84" t="s">
        <v>705</v>
      </c>
      <c r="W52" s="47"/>
      <c r="X52" s="77"/>
      <c r="Y52" s="115" t="s">
        <v>640</v>
      </c>
      <c r="Z52" s="72">
        <f>U61</f>
        <v>0</v>
      </c>
      <c r="AA52" s="84" t="s">
        <v>705</v>
      </c>
      <c r="AB52" s="47"/>
      <c r="AC52" s="77"/>
      <c r="AD52" s="47" t="s">
        <v>737</v>
      </c>
      <c r="AE52" s="57"/>
      <c r="AF52" s="91">
        <f>SUM(K71,K74)</f>
        <v>21299.108200000002</v>
      </c>
      <c r="AG52" s="92" t="s">
        <v>705</v>
      </c>
      <c r="AH52" s="77"/>
      <c r="AI52" s="47"/>
      <c r="AJ52" s="47"/>
    </row>
    <row r="53" spans="1:36" ht="15.75" thickBot="1">
      <c r="A53" s="47"/>
      <c r="B53" s="47"/>
      <c r="C53" s="47"/>
      <c r="D53" s="77"/>
      <c r="E53" s="88"/>
      <c r="F53" s="47"/>
      <c r="G53" s="47"/>
      <c r="H53" s="47"/>
      <c r="I53" s="77"/>
      <c r="J53" s="88"/>
      <c r="K53" s="89">
        <v>49.3</v>
      </c>
      <c r="L53" s="88" t="s">
        <v>742</v>
      </c>
      <c r="M53" s="88" t="s">
        <v>735</v>
      </c>
      <c r="N53" s="77"/>
      <c r="O53" s="47"/>
      <c r="P53" s="47"/>
      <c r="Q53" s="47"/>
      <c r="R53" s="47"/>
      <c r="S53" s="77"/>
      <c r="T53" s="78"/>
      <c r="U53" s="90">
        <v>0</v>
      </c>
      <c r="V53" s="88" t="s">
        <v>736</v>
      </c>
      <c r="W53" s="47"/>
      <c r="X53" s="77"/>
      <c r="Y53" s="78"/>
      <c r="Z53" s="47"/>
      <c r="AA53" s="47"/>
      <c r="AB53" s="47"/>
      <c r="AC53" s="77"/>
      <c r="AD53" s="47"/>
      <c r="AE53" s="95" t="s">
        <v>579</v>
      </c>
      <c r="AF53" s="96">
        <f>SUM(AF51:AF52)</f>
        <v>21299.108200000002</v>
      </c>
      <c r="AG53" s="97" t="s">
        <v>705</v>
      </c>
      <c r="AH53" s="77"/>
      <c r="AI53" s="47"/>
      <c r="AJ53" s="47"/>
    </row>
    <row r="54" spans="1:36" ht="15.75" thickBot="1">
      <c r="A54" s="47"/>
      <c r="B54" s="47"/>
      <c r="C54" s="47"/>
      <c r="D54" s="77"/>
      <c r="E54" s="88"/>
      <c r="F54" s="47"/>
      <c r="G54" s="47"/>
      <c r="H54" s="47"/>
      <c r="I54" s="77"/>
      <c r="J54" s="78"/>
      <c r="K54" s="47"/>
      <c r="L54" s="47"/>
      <c r="M54" s="47"/>
      <c r="N54" s="77"/>
      <c r="O54" s="47"/>
      <c r="P54" s="47"/>
      <c r="Q54" s="47"/>
      <c r="R54" s="47"/>
      <c r="S54" s="77"/>
      <c r="T54" s="78"/>
      <c r="U54" s="47"/>
      <c r="V54" s="47"/>
      <c r="W54" s="47"/>
      <c r="X54" s="77"/>
      <c r="Y54" s="116" t="s">
        <v>641</v>
      </c>
      <c r="Z54" s="70">
        <f>U64</f>
        <v>0</v>
      </c>
      <c r="AA54" s="84" t="s">
        <v>705</v>
      </c>
      <c r="AB54" s="47"/>
      <c r="AC54" s="77"/>
      <c r="AD54" s="47"/>
      <c r="AE54" s="47"/>
      <c r="AF54" s="47"/>
      <c r="AG54" s="47"/>
      <c r="AH54" s="77"/>
      <c r="AI54" s="47"/>
      <c r="AJ54" s="47"/>
    </row>
    <row r="55" spans="1:36" ht="15.75" thickBot="1">
      <c r="A55" s="47"/>
      <c r="B55" s="47"/>
      <c r="C55" s="47"/>
      <c r="D55" s="77"/>
      <c r="E55" s="102" t="s">
        <v>743</v>
      </c>
      <c r="F55" s="107">
        <v>69.599999999999994</v>
      </c>
      <c r="G55" s="47" t="s">
        <v>747</v>
      </c>
      <c r="H55" s="47" t="s">
        <v>740</v>
      </c>
      <c r="I55" s="77"/>
      <c r="J55" s="117" t="s">
        <v>743</v>
      </c>
      <c r="K55" s="103">
        <f>F55*K56</f>
        <v>2658.72</v>
      </c>
      <c r="L55" s="84" t="s">
        <v>705</v>
      </c>
      <c r="M55" s="47"/>
      <c r="N55" s="77"/>
      <c r="O55" s="47"/>
      <c r="P55" s="47"/>
      <c r="Q55" s="47"/>
      <c r="R55" s="47"/>
      <c r="S55" s="77"/>
      <c r="T55" s="113" t="s">
        <v>638</v>
      </c>
      <c r="U55" s="66">
        <f>$P$36*U56</f>
        <v>0</v>
      </c>
      <c r="V55" s="84" t="s">
        <v>705</v>
      </c>
      <c r="W55" s="47"/>
      <c r="X55" s="77"/>
      <c r="Y55" s="78"/>
      <c r="Z55" s="47"/>
      <c r="AA55" s="47"/>
      <c r="AB55" s="47"/>
      <c r="AC55" s="77"/>
      <c r="AD55" s="104" t="s">
        <v>630</v>
      </c>
      <c r="AE55" s="47"/>
      <c r="AF55" s="47"/>
      <c r="AG55" s="84"/>
      <c r="AH55" s="77"/>
      <c r="AI55" s="47"/>
      <c r="AJ55" s="47"/>
    </row>
    <row r="56" spans="1:36" ht="15.75" thickBot="1">
      <c r="A56" s="47"/>
      <c r="B56" s="47"/>
      <c r="C56" s="47"/>
      <c r="D56" s="77"/>
      <c r="E56" s="78"/>
      <c r="F56" s="47"/>
      <c r="G56" s="47"/>
      <c r="H56" s="47"/>
      <c r="I56" s="77"/>
      <c r="J56" s="78"/>
      <c r="K56" s="89">
        <v>38.200000000000003</v>
      </c>
      <c r="L56" s="88" t="s">
        <v>616</v>
      </c>
      <c r="M56" s="88" t="s">
        <v>735</v>
      </c>
      <c r="N56" s="77"/>
      <c r="O56" s="47"/>
      <c r="P56" s="47"/>
      <c r="Q56" s="47"/>
      <c r="R56" s="47"/>
      <c r="S56" s="77"/>
      <c r="T56" s="78"/>
      <c r="U56" s="90">
        <v>0</v>
      </c>
      <c r="V56" s="88" t="s">
        <v>736</v>
      </c>
      <c r="W56" s="47"/>
      <c r="X56" s="77"/>
      <c r="Y56" s="78"/>
      <c r="Z56" s="47"/>
      <c r="AA56" s="47"/>
      <c r="AB56" s="47"/>
      <c r="AC56" s="77"/>
      <c r="AD56" s="47" t="s">
        <v>733</v>
      </c>
      <c r="AE56" s="47"/>
      <c r="AF56" s="87">
        <f>K82*$U$70</f>
        <v>753.54714285714294</v>
      </c>
      <c r="AG56" s="84" t="s">
        <v>705</v>
      </c>
      <c r="AH56" s="77"/>
      <c r="AI56" s="47"/>
      <c r="AJ56" s="47"/>
    </row>
    <row r="57" spans="1:36" ht="15.75" thickBot="1">
      <c r="A57" s="47"/>
      <c r="B57" s="47"/>
      <c r="C57" s="47"/>
      <c r="D57" s="77"/>
      <c r="E57" s="78"/>
      <c r="F57" s="47"/>
      <c r="G57" s="47"/>
      <c r="H57" s="118"/>
      <c r="I57" s="77"/>
      <c r="J57" s="78"/>
      <c r="K57" s="47"/>
      <c r="L57" s="47"/>
      <c r="M57" s="47"/>
      <c r="N57" s="77"/>
      <c r="O57" s="47"/>
      <c r="P57" s="47"/>
      <c r="Q57" s="47"/>
      <c r="R57" s="47"/>
      <c r="S57" s="77"/>
      <c r="T57" s="78"/>
      <c r="U57" s="47"/>
      <c r="V57" s="47"/>
      <c r="W57" s="47"/>
      <c r="X57" s="77"/>
      <c r="Y57" s="78"/>
      <c r="Z57" s="47"/>
      <c r="AA57" s="47"/>
      <c r="AB57" s="47"/>
      <c r="AC57" s="77"/>
      <c r="AD57" s="47" t="s">
        <v>737</v>
      </c>
      <c r="AE57" s="57"/>
      <c r="AF57" s="91">
        <f>K79</f>
        <v>43.103199999999994</v>
      </c>
      <c r="AG57" s="92" t="s">
        <v>705</v>
      </c>
      <c r="AH57" s="77"/>
      <c r="AI57" s="47"/>
      <c r="AJ57" s="47"/>
    </row>
    <row r="58" spans="1:36" ht="15.75" thickBot="1">
      <c r="A58" s="47"/>
      <c r="B58" s="47"/>
      <c r="C58" s="47"/>
      <c r="D58" s="77"/>
      <c r="E58" s="105" t="s">
        <v>600</v>
      </c>
      <c r="F58" s="119">
        <v>61200</v>
      </c>
      <c r="G58" s="47" t="s">
        <v>748</v>
      </c>
      <c r="H58" s="47" t="s">
        <v>740</v>
      </c>
      <c r="I58" s="77"/>
      <c r="J58" s="105" t="s">
        <v>600</v>
      </c>
      <c r="K58" s="106">
        <f>F58*K59/1000</f>
        <v>2190.96</v>
      </c>
      <c r="L58" s="60" t="s">
        <v>705</v>
      </c>
      <c r="M58" s="47"/>
      <c r="N58" s="77"/>
      <c r="O58" s="47"/>
      <c r="P58" s="47"/>
      <c r="Q58" s="47"/>
      <c r="R58" s="47"/>
      <c r="S58" s="77"/>
      <c r="T58" s="114" t="s">
        <v>639</v>
      </c>
      <c r="U58" s="68">
        <f>$P$36*U59</f>
        <v>0</v>
      </c>
      <c r="V58" s="84" t="s">
        <v>705</v>
      </c>
      <c r="W58" s="47"/>
      <c r="X58" s="77"/>
      <c r="Y58" s="47"/>
      <c r="Z58" s="47"/>
      <c r="AA58" s="47"/>
      <c r="AB58" s="47"/>
      <c r="AC58" s="77"/>
      <c r="AD58" s="47"/>
      <c r="AE58" s="95" t="s">
        <v>579</v>
      </c>
      <c r="AF58" s="96">
        <f>SUM(AF56:AF57)</f>
        <v>796.65034285714296</v>
      </c>
      <c r="AG58" s="97" t="s">
        <v>705</v>
      </c>
      <c r="AH58" s="77"/>
      <c r="AI58" s="47"/>
      <c r="AJ58" s="47"/>
    </row>
    <row r="59" spans="1:36" ht="15.75" thickBot="1">
      <c r="A59" s="47"/>
      <c r="B59" s="47"/>
      <c r="C59" s="47"/>
      <c r="D59" s="77"/>
      <c r="E59" s="78"/>
      <c r="F59" s="47"/>
      <c r="G59" s="47"/>
      <c r="H59" s="47"/>
      <c r="I59" s="77"/>
      <c r="J59" s="120"/>
      <c r="K59" s="108">
        <v>35.799999999999997</v>
      </c>
      <c r="L59" s="109" t="s">
        <v>618</v>
      </c>
      <c r="M59" s="88" t="s">
        <v>735</v>
      </c>
      <c r="N59" s="77"/>
      <c r="O59" s="47"/>
      <c r="P59" s="47"/>
      <c r="Q59" s="47"/>
      <c r="R59" s="47"/>
      <c r="S59" s="77"/>
      <c r="T59" s="78"/>
      <c r="U59" s="90">
        <v>0</v>
      </c>
      <c r="V59" s="88" t="s">
        <v>736</v>
      </c>
      <c r="W59" s="47"/>
      <c r="X59" s="77"/>
      <c r="Y59" s="47"/>
      <c r="Z59" s="47"/>
      <c r="AA59" s="47"/>
      <c r="AB59" s="47"/>
      <c r="AC59" s="77"/>
      <c r="AD59" s="47"/>
      <c r="AE59" s="47"/>
      <c r="AF59" s="47"/>
      <c r="AG59" s="47"/>
      <c r="AH59" s="77"/>
      <c r="AI59" s="47"/>
      <c r="AJ59" s="47"/>
    </row>
    <row r="60" spans="1:36">
      <c r="A60" s="47"/>
      <c r="B60" s="47"/>
      <c r="C60" s="47"/>
      <c r="D60" s="77"/>
      <c r="E60" s="78"/>
      <c r="F60" s="47"/>
      <c r="G60" s="47"/>
      <c r="H60" s="47"/>
      <c r="I60" s="77"/>
      <c r="J60" s="120"/>
      <c r="K60" s="110">
        <f>K48+K51+K55+K58</f>
        <v>16845.3001</v>
      </c>
      <c r="L60" s="84" t="s">
        <v>705</v>
      </c>
      <c r="M60" s="88" t="s">
        <v>749</v>
      </c>
      <c r="N60" s="77"/>
      <c r="O60" s="47"/>
      <c r="P60" s="47"/>
      <c r="Q60" s="47"/>
      <c r="R60" s="47"/>
      <c r="S60" s="77"/>
      <c r="T60" s="78"/>
      <c r="U60" s="47"/>
      <c r="V60" s="47"/>
      <c r="W60" s="47"/>
      <c r="X60" s="77"/>
      <c r="Y60" s="47"/>
      <c r="Z60" s="47"/>
      <c r="AA60" s="47"/>
      <c r="AB60" s="47"/>
      <c r="AC60" s="77"/>
      <c r="AD60" s="47"/>
      <c r="AE60" s="47"/>
      <c r="AF60" s="47"/>
      <c r="AG60" s="47"/>
      <c r="AH60" s="77"/>
      <c r="AI60" s="47"/>
      <c r="AJ60" s="47"/>
    </row>
    <row r="61" spans="1:36" ht="15.75" thickBot="1">
      <c r="A61" s="47"/>
      <c r="B61" s="47"/>
      <c r="C61" s="47"/>
      <c r="D61" s="77"/>
      <c r="E61" s="78"/>
      <c r="F61" s="47"/>
      <c r="G61" s="47"/>
      <c r="H61" s="47"/>
      <c r="I61" s="77"/>
      <c r="J61" s="78"/>
      <c r="K61" s="47"/>
      <c r="L61" s="47"/>
      <c r="M61" s="47"/>
      <c r="N61" s="77"/>
      <c r="O61" s="47"/>
      <c r="P61" s="47"/>
      <c r="Q61" s="47"/>
      <c r="R61" s="47"/>
      <c r="S61" s="77"/>
      <c r="T61" s="115" t="s">
        <v>640</v>
      </c>
      <c r="U61" s="72">
        <f>$P$36*U62</f>
        <v>0</v>
      </c>
      <c r="V61" s="84" t="s">
        <v>705</v>
      </c>
      <c r="W61" s="47"/>
      <c r="X61" s="77"/>
      <c r="Y61" s="47"/>
      <c r="Z61" s="47"/>
      <c r="AA61" s="47"/>
      <c r="AB61" s="47"/>
      <c r="AC61" s="77"/>
      <c r="AD61" s="47"/>
      <c r="AE61" s="47"/>
      <c r="AF61" s="47"/>
      <c r="AG61" s="47"/>
      <c r="AH61" s="77"/>
      <c r="AI61" s="47"/>
      <c r="AJ61" s="47"/>
    </row>
    <row r="62" spans="1:36" ht="15.75" thickBot="1">
      <c r="A62" s="47"/>
      <c r="B62" s="79" t="s">
        <v>596</v>
      </c>
      <c r="C62" s="47"/>
      <c r="D62" s="77"/>
      <c r="E62" s="104" t="s">
        <v>596</v>
      </c>
      <c r="F62" s="47"/>
      <c r="G62" s="47"/>
      <c r="H62" s="47"/>
      <c r="I62" s="77"/>
      <c r="J62" s="104" t="s">
        <v>596</v>
      </c>
      <c r="K62" s="47"/>
      <c r="L62" s="47"/>
      <c r="M62" s="47"/>
      <c r="N62" s="77"/>
      <c r="O62" s="47"/>
      <c r="P62" s="47"/>
      <c r="Q62" s="47"/>
      <c r="R62" s="47"/>
      <c r="S62" s="77"/>
      <c r="T62" s="78"/>
      <c r="U62" s="90">
        <v>0</v>
      </c>
      <c r="V62" s="88" t="s">
        <v>736</v>
      </c>
      <c r="W62" s="47"/>
      <c r="X62" s="77"/>
      <c r="Y62" s="47"/>
      <c r="Z62" s="47"/>
      <c r="AA62" s="47"/>
      <c r="AB62" s="47"/>
      <c r="AC62" s="77"/>
      <c r="AD62" s="47"/>
      <c r="AE62" s="47"/>
      <c r="AF62" s="47"/>
      <c r="AG62" s="47"/>
      <c r="AH62" s="77"/>
      <c r="AI62" s="47"/>
      <c r="AJ62" s="47"/>
    </row>
    <row r="63" spans="1:36" ht="15.75" thickBot="1">
      <c r="A63" s="47"/>
      <c r="B63" s="47" t="s">
        <v>661</v>
      </c>
      <c r="C63" s="47"/>
      <c r="D63" s="77"/>
      <c r="E63" s="81" t="s">
        <v>18</v>
      </c>
      <c r="F63" s="82">
        <v>1960</v>
      </c>
      <c r="G63" s="47" t="s">
        <v>750</v>
      </c>
      <c r="H63" s="47" t="s">
        <v>732</v>
      </c>
      <c r="I63" s="77"/>
      <c r="J63" s="81" t="s">
        <v>18</v>
      </c>
      <c r="K63" s="83">
        <f>F63*K64</f>
        <v>7056</v>
      </c>
      <c r="L63" s="84" t="s">
        <v>705</v>
      </c>
      <c r="M63" s="47"/>
      <c r="N63" s="77"/>
      <c r="O63" s="47"/>
      <c r="P63" s="47"/>
      <c r="Q63" s="47"/>
      <c r="R63" s="47"/>
      <c r="S63" s="77"/>
      <c r="T63" s="78"/>
      <c r="U63" s="47"/>
      <c r="V63" s="47"/>
      <c r="W63" s="47"/>
      <c r="X63" s="77"/>
      <c r="Y63" s="47"/>
      <c r="Z63" s="47"/>
      <c r="AA63" s="47"/>
      <c r="AB63" s="47"/>
      <c r="AC63" s="77"/>
      <c r="AD63" s="47"/>
      <c r="AE63" s="47"/>
      <c r="AF63" s="47"/>
      <c r="AG63" s="47"/>
      <c r="AH63" s="77"/>
      <c r="AI63" s="47"/>
      <c r="AJ63" s="47"/>
    </row>
    <row r="64" spans="1:36" ht="15.75" thickBot="1">
      <c r="A64" s="47"/>
      <c r="B64" s="47" t="s">
        <v>650</v>
      </c>
      <c r="C64" s="47"/>
      <c r="D64" s="77"/>
      <c r="E64" s="88"/>
      <c r="F64" s="47"/>
      <c r="G64" s="47"/>
      <c r="H64" s="47"/>
      <c r="I64" s="77"/>
      <c r="J64" s="88"/>
      <c r="K64" s="89">
        <v>3.6</v>
      </c>
      <c r="L64" s="88" t="s">
        <v>734</v>
      </c>
      <c r="M64" s="88" t="s">
        <v>735</v>
      </c>
      <c r="N64" s="77"/>
      <c r="O64" s="47"/>
      <c r="P64" s="47"/>
      <c r="Q64" s="47"/>
      <c r="R64" s="47"/>
      <c r="S64" s="77"/>
      <c r="T64" s="116" t="s">
        <v>641</v>
      </c>
      <c r="U64" s="70">
        <f>$P$36*U65</f>
        <v>0</v>
      </c>
      <c r="V64" s="84" t="s">
        <v>705</v>
      </c>
      <c r="W64" s="47"/>
      <c r="X64" s="77"/>
      <c r="Y64" s="47"/>
      <c r="Z64" s="47"/>
      <c r="AA64" s="47"/>
      <c r="AB64" s="47"/>
      <c r="AC64" s="77"/>
      <c r="AD64" s="47"/>
      <c r="AE64" s="47"/>
      <c r="AF64" s="47"/>
      <c r="AG64" s="47"/>
      <c r="AH64" s="77"/>
      <c r="AI64" s="47"/>
      <c r="AJ64" s="47"/>
    </row>
    <row r="65" spans="1:36" ht="15.75" thickBot="1">
      <c r="A65" s="47"/>
      <c r="B65" s="47" t="s">
        <v>671</v>
      </c>
      <c r="C65" s="47"/>
      <c r="D65" s="77"/>
      <c r="E65" s="88"/>
      <c r="F65" s="121"/>
      <c r="G65" s="47"/>
      <c r="H65" s="47"/>
      <c r="I65" s="77"/>
      <c r="J65" s="88"/>
      <c r="K65" s="47"/>
      <c r="L65" s="47"/>
      <c r="M65" s="47"/>
      <c r="N65" s="77"/>
      <c r="O65" s="47"/>
      <c r="P65" s="47"/>
      <c r="Q65" s="47"/>
      <c r="R65" s="47"/>
      <c r="S65" s="77"/>
      <c r="T65" s="78"/>
      <c r="U65" s="90">
        <v>0</v>
      </c>
      <c r="V65" s="88" t="s">
        <v>736</v>
      </c>
      <c r="W65" s="47"/>
      <c r="X65" s="77"/>
      <c r="Y65" s="47"/>
      <c r="Z65" s="47"/>
      <c r="AA65" s="47"/>
      <c r="AB65" s="47"/>
      <c r="AC65" s="77"/>
      <c r="AD65" s="47"/>
      <c r="AE65" s="47"/>
      <c r="AF65" s="47"/>
      <c r="AG65" s="47"/>
      <c r="AH65" s="77"/>
      <c r="AI65" s="47"/>
      <c r="AJ65" s="47"/>
    </row>
    <row r="66" spans="1:36" ht="15.75" thickBot="1">
      <c r="A66" s="47"/>
      <c r="B66" s="47"/>
      <c r="C66" s="47"/>
      <c r="D66" s="77"/>
      <c r="E66" s="102" t="s">
        <v>743</v>
      </c>
      <c r="F66" s="107">
        <v>1.05</v>
      </c>
      <c r="G66" s="47" t="s">
        <v>751</v>
      </c>
      <c r="H66" s="47" t="s">
        <v>740</v>
      </c>
      <c r="I66" s="77"/>
      <c r="J66" s="117" t="s">
        <v>743</v>
      </c>
      <c r="K66" s="103">
        <f>F66*K67</f>
        <v>40.110000000000007</v>
      </c>
      <c r="L66" s="84" t="s">
        <v>705</v>
      </c>
      <c r="M66" s="47"/>
      <c r="N66" s="77"/>
      <c r="O66" s="47"/>
      <c r="P66" s="47"/>
      <c r="Q66" s="47"/>
      <c r="R66" s="47"/>
      <c r="S66" s="77"/>
      <c r="T66" s="78"/>
      <c r="U66" s="47"/>
      <c r="V66" s="47"/>
      <c r="W66" s="47"/>
      <c r="X66" s="77"/>
      <c r="Y66" s="47"/>
      <c r="Z66" s="47"/>
      <c r="AA66" s="47"/>
      <c r="AB66" s="47"/>
      <c r="AC66" s="77"/>
      <c r="AD66" s="47"/>
      <c r="AE66" s="47"/>
      <c r="AF66" s="47"/>
      <c r="AG66" s="47"/>
      <c r="AH66" s="77"/>
      <c r="AI66" s="47"/>
      <c r="AJ66" s="47"/>
    </row>
    <row r="67" spans="1:36">
      <c r="A67" s="47"/>
      <c r="B67" s="47"/>
      <c r="C67" s="47"/>
      <c r="D67" s="77"/>
      <c r="E67" s="88"/>
      <c r="F67" s="47"/>
      <c r="G67" s="47"/>
      <c r="H67" s="47"/>
      <c r="I67" s="77"/>
      <c r="J67" s="88"/>
      <c r="K67" s="108">
        <v>38.200000000000003</v>
      </c>
      <c r="L67" s="109" t="s">
        <v>616</v>
      </c>
      <c r="M67" s="88" t="s">
        <v>735</v>
      </c>
      <c r="N67" s="77"/>
      <c r="O67" s="47"/>
      <c r="P67" s="122"/>
      <c r="Q67" s="47"/>
      <c r="R67" s="47"/>
      <c r="S67" s="77"/>
      <c r="T67" s="78"/>
      <c r="U67" s="47"/>
      <c r="V67" s="47"/>
      <c r="W67" s="47"/>
      <c r="X67" s="77"/>
      <c r="Y67" s="47"/>
      <c r="Z67" s="47"/>
      <c r="AA67" s="47"/>
      <c r="AB67" s="47"/>
      <c r="AC67" s="77"/>
      <c r="AD67" s="47"/>
      <c r="AE67" s="47"/>
      <c r="AF67" s="47"/>
      <c r="AG67" s="47"/>
      <c r="AH67" s="77"/>
      <c r="AI67" s="47"/>
      <c r="AJ67" s="47"/>
    </row>
    <row r="68" spans="1:36">
      <c r="A68" s="47"/>
      <c r="B68" s="47"/>
      <c r="C68" s="47"/>
      <c r="D68" s="77"/>
      <c r="E68" s="88"/>
      <c r="F68" s="47"/>
      <c r="G68" s="47"/>
      <c r="H68" s="47"/>
      <c r="I68" s="77"/>
      <c r="J68" s="88"/>
      <c r="K68" s="110">
        <f>K63+K66</f>
        <v>7096.11</v>
      </c>
      <c r="L68" s="84" t="s">
        <v>705</v>
      </c>
      <c r="M68" s="88" t="s">
        <v>752</v>
      </c>
      <c r="N68" s="77"/>
      <c r="O68" s="47"/>
      <c r="P68" s="47"/>
      <c r="Q68" s="47"/>
      <c r="R68" s="47"/>
      <c r="S68" s="77"/>
      <c r="T68" s="78"/>
      <c r="U68" s="47"/>
      <c r="V68" s="47"/>
      <c r="W68" s="47"/>
      <c r="X68" s="77"/>
      <c r="Y68" s="47"/>
      <c r="Z68" s="47"/>
      <c r="AA68" s="47"/>
      <c r="AB68" s="47"/>
      <c r="AC68" s="77"/>
      <c r="AD68" s="47"/>
      <c r="AE68" s="47"/>
      <c r="AF68" s="47"/>
      <c r="AG68" s="47"/>
      <c r="AH68" s="77"/>
      <c r="AI68" s="47"/>
      <c r="AJ68" s="47"/>
    </row>
    <row r="69" spans="1:36">
      <c r="A69" s="47"/>
      <c r="B69" s="47"/>
      <c r="C69" s="47"/>
      <c r="D69" s="77"/>
      <c r="E69" s="78"/>
      <c r="F69" s="47"/>
      <c r="G69" s="47"/>
      <c r="H69" s="47"/>
      <c r="I69" s="77"/>
      <c r="J69" s="78"/>
      <c r="K69" s="47"/>
      <c r="L69" s="47"/>
      <c r="M69" s="47"/>
      <c r="N69" s="77"/>
      <c r="O69" s="47"/>
      <c r="P69" s="47"/>
      <c r="Q69" s="47"/>
      <c r="R69" s="47"/>
      <c r="S69" s="77"/>
      <c r="T69" s="123" t="s">
        <v>753</v>
      </c>
      <c r="U69" s="52"/>
      <c r="V69" s="52"/>
      <c r="W69" s="53"/>
      <c r="X69" s="77"/>
      <c r="Y69" s="47"/>
      <c r="Z69" s="47"/>
      <c r="AA69" s="47"/>
      <c r="AB69" s="47"/>
      <c r="AC69" s="77"/>
      <c r="AD69" s="47"/>
      <c r="AE69" s="47"/>
      <c r="AF69" s="47"/>
      <c r="AG69" s="47"/>
      <c r="AH69" s="77"/>
      <c r="AI69" s="47"/>
      <c r="AJ69" s="47"/>
    </row>
    <row r="70" spans="1:36" ht="15.75" thickBot="1">
      <c r="A70" s="47"/>
      <c r="B70" s="79" t="s">
        <v>628</v>
      </c>
      <c r="C70" s="47"/>
      <c r="D70" s="77"/>
      <c r="E70" s="104" t="s">
        <v>628</v>
      </c>
      <c r="F70" s="47"/>
      <c r="G70" s="47"/>
      <c r="H70" s="47"/>
      <c r="I70" s="77"/>
      <c r="J70" s="104" t="s">
        <v>628</v>
      </c>
      <c r="K70" s="47"/>
      <c r="L70" s="47"/>
      <c r="M70" s="47"/>
      <c r="N70" s="77"/>
      <c r="O70" s="47"/>
      <c r="P70" s="47"/>
      <c r="Q70" s="47"/>
      <c r="R70" s="47"/>
      <c r="S70" s="77"/>
      <c r="T70" s="124"/>
      <c r="U70" s="125">
        <f>SUM(U36,U40,U44,U48,U52,U55,U58,U61,U64)/P36</f>
        <v>2.6496031746031745</v>
      </c>
      <c r="V70" s="50" t="s">
        <v>754</v>
      </c>
      <c r="W70" s="55" t="s">
        <v>633</v>
      </c>
      <c r="X70" s="77"/>
      <c r="Y70" s="47"/>
      <c r="Z70" s="47"/>
      <c r="AA70" s="47"/>
      <c r="AB70" s="47"/>
      <c r="AC70" s="77"/>
      <c r="AD70" s="47"/>
      <c r="AE70" s="47"/>
      <c r="AF70" s="47"/>
      <c r="AG70" s="47"/>
      <c r="AH70" s="77"/>
      <c r="AI70" s="47"/>
      <c r="AJ70" s="47"/>
    </row>
    <row r="71" spans="1:36" ht="15.75" thickBot="1">
      <c r="A71" s="47"/>
      <c r="B71" s="47" t="s">
        <v>650</v>
      </c>
      <c r="C71" s="47"/>
      <c r="D71" s="77"/>
      <c r="E71" s="105" t="s">
        <v>600</v>
      </c>
      <c r="F71" s="119">
        <v>201871</v>
      </c>
      <c r="G71" s="47" t="s">
        <v>755</v>
      </c>
      <c r="H71" s="47" t="s">
        <v>740</v>
      </c>
      <c r="I71" s="77"/>
      <c r="J71" s="105" t="s">
        <v>600</v>
      </c>
      <c r="K71" s="106">
        <f>F71*K72/1000</f>
        <v>7226.9817999999996</v>
      </c>
      <c r="L71" s="84" t="s">
        <v>705</v>
      </c>
      <c r="M71" s="47"/>
      <c r="N71" s="77"/>
      <c r="O71" s="47"/>
      <c r="P71" s="47"/>
      <c r="Q71" s="47"/>
      <c r="R71" s="47"/>
      <c r="S71" s="77"/>
      <c r="T71" s="124"/>
      <c r="U71" s="50"/>
      <c r="V71" s="50" t="s">
        <v>756</v>
      </c>
      <c r="W71" s="55"/>
      <c r="X71" s="77"/>
      <c r="Y71" s="47"/>
      <c r="Z71" s="47"/>
      <c r="AA71" s="47"/>
      <c r="AB71" s="47"/>
      <c r="AC71" s="77"/>
      <c r="AD71" s="47"/>
      <c r="AE71" s="47"/>
      <c r="AF71" s="47"/>
      <c r="AG71" s="47"/>
      <c r="AH71" s="77"/>
      <c r="AI71" s="47"/>
      <c r="AJ71" s="47"/>
    </row>
    <row r="72" spans="1:36">
      <c r="A72" s="47"/>
      <c r="B72" s="47" t="s">
        <v>653</v>
      </c>
      <c r="C72" s="47"/>
      <c r="D72" s="77"/>
      <c r="E72" s="78"/>
      <c r="F72" s="47"/>
      <c r="G72" s="47"/>
      <c r="H72" s="80"/>
      <c r="I72" s="77"/>
      <c r="J72" s="78"/>
      <c r="K72" s="89">
        <v>35.799999999999997</v>
      </c>
      <c r="L72" s="88" t="s">
        <v>618</v>
      </c>
      <c r="M72" s="88" t="s">
        <v>735</v>
      </c>
      <c r="N72" s="77"/>
      <c r="O72" s="47"/>
      <c r="P72" s="47"/>
      <c r="Q72" s="47"/>
      <c r="R72" s="47"/>
      <c r="S72" s="77"/>
      <c r="T72" s="56"/>
      <c r="U72" s="57">
        <v>1</v>
      </c>
      <c r="V72" s="57" t="s">
        <v>754</v>
      </c>
      <c r="W72" s="58" t="s">
        <v>757</v>
      </c>
      <c r="X72" s="77"/>
      <c r="Y72" s="47"/>
      <c r="Z72" s="47"/>
      <c r="AA72" s="47"/>
      <c r="AB72" s="47"/>
      <c r="AC72" s="77"/>
      <c r="AD72" s="47"/>
      <c r="AE72" s="47"/>
      <c r="AF72" s="47"/>
      <c r="AG72" s="47"/>
      <c r="AH72" s="77"/>
      <c r="AI72" s="47"/>
      <c r="AJ72" s="47"/>
    </row>
    <row r="73" spans="1:36" ht="15.75" thickBot="1">
      <c r="A73" s="47"/>
      <c r="B73" s="47" t="s">
        <v>656</v>
      </c>
      <c r="C73" s="47"/>
      <c r="D73" s="77"/>
      <c r="E73" s="78"/>
      <c r="F73" s="47"/>
      <c r="G73" s="47"/>
      <c r="H73" s="118"/>
      <c r="I73" s="77"/>
      <c r="J73" s="78"/>
      <c r="K73" s="47"/>
      <c r="L73" s="47"/>
      <c r="M73" s="47"/>
      <c r="N73" s="77"/>
      <c r="O73" s="47"/>
      <c r="P73" s="47"/>
      <c r="Q73" s="47"/>
      <c r="R73" s="47"/>
      <c r="S73" s="77"/>
      <c r="T73" s="47"/>
      <c r="U73" s="47"/>
      <c r="V73" s="47"/>
      <c r="W73" s="47"/>
      <c r="X73" s="77"/>
      <c r="Y73" s="47"/>
      <c r="Z73" s="47"/>
      <c r="AA73" s="47"/>
      <c r="AB73" s="47"/>
      <c r="AC73" s="77"/>
      <c r="AD73" s="47"/>
      <c r="AE73" s="47"/>
      <c r="AF73" s="47"/>
      <c r="AG73" s="47"/>
      <c r="AH73" s="77"/>
      <c r="AI73" s="47"/>
      <c r="AJ73" s="47"/>
    </row>
    <row r="74" spans="1:36" ht="15.75" thickBot="1">
      <c r="A74" s="47"/>
      <c r="B74" s="47" t="s">
        <v>658</v>
      </c>
      <c r="C74" s="47"/>
      <c r="D74" s="77"/>
      <c r="E74" s="105" t="s">
        <v>598</v>
      </c>
      <c r="F74" s="119">
        <v>438384</v>
      </c>
      <c r="G74" s="47" t="s">
        <v>758</v>
      </c>
      <c r="H74" s="47" t="s">
        <v>740</v>
      </c>
      <c r="I74" s="77"/>
      <c r="J74" s="105" t="s">
        <v>598</v>
      </c>
      <c r="K74" s="106">
        <f>F74*K75/1000</f>
        <v>14072.126400000001</v>
      </c>
      <c r="L74" s="84" t="s">
        <v>705</v>
      </c>
      <c r="M74" s="47"/>
      <c r="N74" s="77"/>
      <c r="O74" s="47"/>
      <c r="P74" s="47"/>
      <c r="Q74" s="47"/>
      <c r="R74" s="47"/>
      <c r="S74" s="77"/>
      <c r="T74" s="47"/>
      <c r="U74" s="47"/>
      <c r="V74" s="47"/>
      <c r="W74" s="47"/>
      <c r="X74" s="77"/>
      <c r="Y74" s="47"/>
      <c r="Z74" s="47"/>
      <c r="AA74" s="47"/>
      <c r="AB74" s="47"/>
      <c r="AC74" s="77"/>
      <c r="AD74" s="47"/>
      <c r="AE74" s="47"/>
      <c r="AF74" s="47"/>
      <c r="AG74" s="47"/>
      <c r="AH74" s="77"/>
      <c r="AI74" s="47"/>
      <c r="AJ74" s="47"/>
    </row>
    <row r="75" spans="1:36">
      <c r="A75" s="47"/>
      <c r="B75" s="47" t="s">
        <v>661</v>
      </c>
      <c r="C75" s="47"/>
      <c r="D75" s="77"/>
      <c r="E75" s="78"/>
      <c r="F75" s="47"/>
      <c r="G75" s="47"/>
      <c r="H75" s="47"/>
      <c r="I75" s="77"/>
      <c r="J75" s="78"/>
      <c r="K75" s="108">
        <v>32.1</v>
      </c>
      <c r="L75" s="109" t="s">
        <v>618</v>
      </c>
      <c r="M75" s="88" t="s">
        <v>735</v>
      </c>
      <c r="N75" s="77"/>
      <c r="O75" s="47"/>
      <c r="P75" s="47"/>
      <c r="Q75" s="47"/>
      <c r="R75" s="47"/>
      <c r="S75" s="77"/>
      <c r="T75" s="47"/>
      <c r="U75" s="47"/>
      <c r="V75" s="47"/>
      <c r="W75" s="47"/>
      <c r="X75" s="77"/>
      <c r="Y75" s="47"/>
      <c r="Z75" s="47"/>
      <c r="AA75" s="47"/>
      <c r="AB75" s="47"/>
      <c r="AC75" s="77"/>
      <c r="AD75" s="47"/>
      <c r="AE75" s="47"/>
      <c r="AF75" s="47"/>
      <c r="AG75" s="47"/>
      <c r="AH75" s="77"/>
      <c r="AI75" s="47"/>
      <c r="AJ75" s="47"/>
    </row>
    <row r="76" spans="1:36">
      <c r="A76" s="47"/>
      <c r="B76" s="47"/>
      <c r="C76" s="47"/>
      <c r="D76" s="77"/>
      <c r="E76" s="78"/>
      <c r="F76" s="47"/>
      <c r="G76" s="47"/>
      <c r="H76" s="47"/>
      <c r="I76" s="77"/>
      <c r="J76" s="78"/>
      <c r="K76" s="110">
        <f>K71+K74</f>
        <v>21299.108200000002</v>
      </c>
      <c r="L76" s="84" t="s">
        <v>705</v>
      </c>
      <c r="M76" s="88" t="s">
        <v>759</v>
      </c>
      <c r="N76" s="77"/>
      <c r="O76" s="47"/>
      <c r="P76" s="47"/>
      <c r="Q76" s="47"/>
      <c r="R76" s="47"/>
      <c r="S76" s="77"/>
      <c r="T76" s="47"/>
      <c r="U76" s="47"/>
      <c r="V76" s="47"/>
      <c r="W76" s="47"/>
      <c r="X76" s="77"/>
      <c r="Y76" s="47"/>
      <c r="Z76" s="47"/>
      <c r="AA76" s="47"/>
      <c r="AB76" s="47"/>
      <c r="AC76" s="77"/>
      <c r="AD76" s="47"/>
      <c r="AE76" s="47"/>
      <c r="AF76" s="47"/>
      <c r="AG76" s="47"/>
      <c r="AH76" s="77"/>
      <c r="AI76" s="47"/>
      <c r="AJ76" s="47"/>
    </row>
    <row r="77" spans="1:36">
      <c r="A77" s="47"/>
      <c r="B77" s="47"/>
      <c r="C77" s="47"/>
      <c r="D77" s="77"/>
      <c r="E77" s="78"/>
      <c r="F77" s="47"/>
      <c r="G77" s="47"/>
      <c r="H77" s="47"/>
      <c r="I77" s="77"/>
      <c r="J77" s="78"/>
      <c r="K77" s="47"/>
      <c r="L77" s="47"/>
      <c r="M77" s="47"/>
      <c r="N77" s="77"/>
      <c r="O77" s="47"/>
      <c r="P77" s="47"/>
      <c r="Q77" s="47"/>
      <c r="R77" s="47"/>
      <c r="S77" s="77"/>
      <c r="T77" s="47"/>
      <c r="U77" s="47"/>
      <c r="V77" s="47"/>
      <c r="W77" s="47"/>
      <c r="X77" s="77"/>
      <c r="Y77" s="47"/>
      <c r="Z77" s="47"/>
      <c r="AA77" s="47"/>
      <c r="AB77" s="47"/>
      <c r="AC77" s="77"/>
      <c r="AD77" s="47"/>
      <c r="AE77" s="47"/>
      <c r="AF77" s="47"/>
      <c r="AG77" s="47"/>
      <c r="AH77" s="77"/>
      <c r="AI77" s="47"/>
      <c r="AJ77" s="47"/>
    </row>
    <row r="78" spans="1:36" ht="15.75" thickBot="1">
      <c r="A78" s="47"/>
      <c r="B78" s="47"/>
      <c r="C78" s="47"/>
      <c r="D78" s="77"/>
      <c r="E78" s="104" t="s">
        <v>630</v>
      </c>
      <c r="F78" s="87"/>
      <c r="G78" s="47"/>
      <c r="H78" s="47"/>
      <c r="I78" s="77"/>
      <c r="J78" s="104" t="s">
        <v>630</v>
      </c>
      <c r="K78" s="87"/>
      <c r="L78" s="47"/>
      <c r="M78" s="47"/>
      <c r="N78" s="77"/>
      <c r="O78" s="47"/>
      <c r="P78" s="47"/>
      <c r="Q78" s="47"/>
      <c r="R78" s="47"/>
      <c r="S78" s="77"/>
      <c r="T78" s="47"/>
      <c r="U78" s="47"/>
      <c r="V78" s="47"/>
      <c r="W78" s="47"/>
      <c r="X78" s="77"/>
      <c r="Y78" s="47"/>
      <c r="Z78" s="47"/>
      <c r="AA78" s="47"/>
      <c r="AB78" s="47"/>
      <c r="AC78" s="77"/>
      <c r="AD78" s="47"/>
      <c r="AE78" s="47"/>
      <c r="AF78" s="47"/>
      <c r="AG78" s="47"/>
      <c r="AH78" s="77"/>
      <c r="AI78" s="47"/>
      <c r="AJ78" s="47"/>
    </row>
    <row r="79" spans="1:36" ht="15.75" thickBot="1">
      <c r="A79" s="47"/>
      <c r="B79" s="79" t="s">
        <v>630</v>
      </c>
      <c r="C79" s="47"/>
      <c r="D79" s="77"/>
      <c r="E79" s="105" t="s">
        <v>600</v>
      </c>
      <c r="F79" s="119">
        <v>1204</v>
      </c>
      <c r="G79" s="47" t="s">
        <v>755</v>
      </c>
      <c r="H79" s="47" t="s">
        <v>740</v>
      </c>
      <c r="I79" s="77"/>
      <c r="J79" s="105" t="s">
        <v>600</v>
      </c>
      <c r="K79" s="106">
        <f>F79*K80/1000</f>
        <v>43.103199999999994</v>
      </c>
      <c r="L79" s="84" t="s">
        <v>705</v>
      </c>
      <c r="M79" s="47"/>
      <c r="N79" s="77"/>
      <c r="O79" s="47"/>
      <c r="P79" s="47"/>
      <c r="Q79" s="47"/>
      <c r="R79" s="47"/>
      <c r="S79" s="77"/>
      <c r="T79" s="47"/>
      <c r="U79" s="47"/>
      <c r="V79" s="47"/>
      <c r="W79" s="47"/>
      <c r="X79" s="77"/>
      <c r="Y79" s="47"/>
      <c r="Z79" s="47"/>
      <c r="AA79" s="47"/>
      <c r="AB79" s="47"/>
      <c r="AC79" s="77"/>
      <c r="AD79" s="47"/>
      <c r="AE79" s="47"/>
      <c r="AF79" s="47"/>
      <c r="AG79" s="47"/>
      <c r="AH79" s="77"/>
      <c r="AI79" s="47"/>
      <c r="AJ79" s="47"/>
    </row>
    <row r="80" spans="1:36">
      <c r="A80" s="47"/>
      <c r="B80" s="47" t="s">
        <v>661</v>
      </c>
      <c r="C80" s="47"/>
      <c r="D80" s="77"/>
      <c r="E80" s="78"/>
      <c r="F80" s="47"/>
      <c r="G80" s="47"/>
      <c r="H80" s="47"/>
      <c r="I80" s="77"/>
      <c r="J80" s="78"/>
      <c r="K80" s="89">
        <v>35.799999999999997</v>
      </c>
      <c r="L80" s="88" t="s">
        <v>618</v>
      </c>
      <c r="M80" s="88" t="s">
        <v>735</v>
      </c>
      <c r="N80" s="77"/>
      <c r="O80" s="47"/>
      <c r="P80" s="47"/>
      <c r="Q80" s="47"/>
      <c r="R80" s="47"/>
      <c r="S80" s="77"/>
      <c r="T80" s="47"/>
      <c r="U80" s="47"/>
      <c r="V80" s="47"/>
      <c r="W80" s="47"/>
      <c r="X80" s="77"/>
      <c r="Y80" s="47"/>
      <c r="Z80" s="47"/>
      <c r="AA80" s="47"/>
      <c r="AB80" s="47"/>
      <c r="AC80" s="77"/>
      <c r="AD80" s="47"/>
      <c r="AE80" s="47"/>
      <c r="AF80" s="47"/>
      <c r="AG80" s="47"/>
      <c r="AH80" s="77"/>
      <c r="AI80" s="47"/>
      <c r="AJ80" s="47"/>
    </row>
    <row r="81" spans="1:36" ht="15.75" thickBot="1">
      <c r="A81" s="47"/>
      <c r="B81" s="47" t="s">
        <v>671</v>
      </c>
      <c r="C81" s="47"/>
      <c r="D81" s="77"/>
      <c r="E81" s="78"/>
      <c r="F81" s="47"/>
      <c r="G81" s="47"/>
      <c r="H81" s="47"/>
      <c r="I81" s="77"/>
      <c r="J81" s="78"/>
      <c r="K81" s="47"/>
      <c r="L81" s="47"/>
      <c r="M81" s="47"/>
      <c r="N81" s="77"/>
      <c r="O81" s="47"/>
      <c r="P81" s="47"/>
      <c r="Q81" s="47"/>
      <c r="R81" s="47"/>
      <c r="S81" s="77"/>
      <c r="T81" s="47"/>
      <c r="U81" s="47"/>
      <c r="V81" s="47"/>
      <c r="W81" s="47"/>
      <c r="X81" s="77"/>
      <c r="Y81" s="47"/>
      <c r="Z81" s="47"/>
      <c r="AA81" s="47"/>
      <c r="AB81" s="47"/>
      <c r="AC81" s="77"/>
      <c r="AD81" s="47"/>
      <c r="AE81" s="47"/>
      <c r="AF81" s="47"/>
      <c r="AG81" s="47"/>
      <c r="AH81" s="77"/>
      <c r="AI81" s="47"/>
      <c r="AJ81" s="47"/>
    </row>
    <row r="82" spans="1:36" ht="15.75" thickBot="1">
      <c r="A82" s="47"/>
      <c r="B82" s="47" t="s">
        <v>650</v>
      </c>
      <c r="C82" s="47"/>
      <c r="D82" s="77"/>
      <c r="E82" s="81" t="s">
        <v>18</v>
      </c>
      <c r="F82" s="82">
        <v>79</v>
      </c>
      <c r="G82" s="47" t="s">
        <v>731</v>
      </c>
      <c r="H82" s="47" t="s">
        <v>732</v>
      </c>
      <c r="I82" s="77"/>
      <c r="J82" s="81" t="s">
        <v>18</v>
      </c>
      <c r="K82" s="83">
        <f>F82*K83</f>
        <v>284.40000000000003</v>
      </c>
      <c r="L82" s="84" t="s">
        <v>705</v>
      </c>
      <c r="M82" s="47"/>
      <c r="N82" s="77"/>
      <c r="O82" s="47"/>
      <c r="P82" s="47"/>
      <c r="Q82" s="47"/>
      <c r="R82" s="47"/>
      <c r="S82" s="77"/>
      <c r="T82" s="47"/>
      <c r="U82" s="47"/>
      <c r="V82" s="47"/>
      <c r="W82" s="47"/>
      <c r="X82" s="77"/>
      <c r="Y82" s="47"/>
      <c r="Z82" s="47"/>
      <c r="AA82" s="47"/>
      <c r="AB82" s="47"/>
      <c r="AC82" s="77"/>
      <c r="AD82" s="47"/>
      <c r="AE82" s="47"/>
      <c r="AF82" s="47"/>
      <c r="AG82" s="47"/>
      <c r="AH82" s="77"/>
      <c r="AI82" s="47"/>
      <c r="AJ82" s="47"/>
    </row>
    <row r="83" spans="1:36">
      <c r="A83" s="47"/>
      <c r="B83" s="47"/>
      <c r="C83" s="47"/>
      <c r="D83" s="77"/>
      <c r="E83" s="78"/>
      <c r="F83" s="47"/>
      <c r="G83" s="47"/>
      <c r="H83" s="47"/>
      <c r="I83" s="77"/>
      <c r="J83" s="78"/>
      <c r="K83" s="108">
        <v>3.6</v>
      </c>
      <c r="L83" s="109" t="s">
        <v>734</v>
      </c>
      <c r="M83" s="88" t="s">
        <v>735</v>
      </c>
      <c r="N83" s="47"/>
      <c r="O83" s="47"/>
      <c r="P83" s="47"/>
      <c r="Q83" s="47"/>
      <c r="R83" s="47"/>
      <c r="S83" s="47"/>
      <c r="T83" s="47"/>
      <c r="U83" s="47"/>
      <c r="V83" s="47"/>
      <c r="W83" s="47"/>
      <c r="X83" s="47"/>
      <c r="Y83" s="47"/>
      <c r="Z83" s="47"/>
      <c r="AA83" s="47"/>
      <c r="AB83" s="47"/>
      <c r="AC83" s="47"/>
      <c r="AD83" s="47"/>
      <c r="AE83" s="47"/>
      <c r="AF83" s="47"/>
      <c r="AG83" s="47"/>
      <c r="AH83" s="47"/>
      <c r="AI83" s="47"/>
      <c r="AJ83" s="47"/>
    </row>
    <row r="84" spans="1:36">
      <c r="A84" s="47"/>
      <c r="B84" s="47"/>
      <c r="C84" s="47"/>
      <c r="D84" s="77"/>
      <c r="E84" s="78"/>
      <c r="F84" s="47"/>
      <c r="G84" s="47"/>
      <c r="H84" s="47"/>
      <c r="I84" s="77"/>
      <c r="J84" s="78"/>
      <c r="K84" s="110">
        <f>K79+K82</f>
        <v>327.50320000000005</v>
      </c>
      <c r="L84" s="84" t="s">
        <v>705</v>
      </c>
      <c r="M84" s="88" t="s">
        <v>760</v>
      </c>
      <c r="N84" s="47"/>
      <c r="O84" s="47"/>
      <c r="P84" s="47"/>
      <c r="Q84" s="47"/>
      <c r="R84" s="47"/>
      <c r="S84" s="47"/>
      <c r="T84" s="47"/>
      <c r="U84" s="47"/>
      <c r="V84" s="47"/>
      <c r="W84" s="47"/>
      <c r="X84" s="47"/>
      <c r="Y84" s="47"/>
      <c r="Z84" s="47"/>
      <c r="AA84" s="47"/>
      <c r="AB84" s="47"/>
      <c r="AC84" s="47"/>
      <c r="AD84" s="47"/>
      <c r="AE84" s="47"/>
      <c r="AF84" s="47"/>
      <c r="AG84" s="47"/>
      <c r="AH84" s="47"/>
      <c r="AI84" s="47"/>
      <c r="AJ84" s="47"/>
    </row>
    <row r="85" spans="1:36">
      <c r="A85" s="47"/>
      <c r="B85" s="47"/>
      <c r="C85" s="47"/>
      <c r="D85" s="47"/>
      <c r="E85" s="78"/>
      <c r="F85" s="47"/>
      <c r="G85" s="47"/>
      <c r="H85" s="47"/>
      <c r="I85" s="7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row>
    <row r="86" spans="1:36">
      <c r="A86" s="47"/>
      <c r="B86" s="47"/>
      <c r="C86" s="47"/>
      <c r="D86" s="47"/>
      <c r="E86" s="78"/>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row>
    <row r="87" spans="1:36">
      <c r="A87" s="47"/>
      <c r="B87" s="47"/>
      <c r="C87" s="47"/>
      <c r="D87" s="47"/>
      <c r="E87" s="78"/>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row>
    <row r="96" spans="1:36">
      <c r="Y96" s="11"/>
    </row>
    <row r="99" spans="25:25">
      <c r="Y99" s="11"/>
    </row>
    <row r="106" spans="25:25">
      <c r="Y106" s="11"/>
    </row>
    <row r="109" spans="25:25">
      <c r="Y109" s="11"/>
    </row>
    <row r="112" spans="25:25">
      <c r="Y112" s="11"/>
    </row>
    <row r="113" spans="25:25">
      <c r="Y113" s="10"/>
    </row>
    <row r="119" spans="25:25">
      <c r="Y119" s="11"/>
    </row>
    <row r="124" spans="25:25">
      <c r="Y124" s="10"/>
    </row>
    <row r="125" spans="25:25">
      <c r="Y125" s="10"/>
    </row>
  </sheetData>
  <mergeCells count="7">
    <mergeCell ref="AD31:AG31"/>
    <mergeCell ref="B31:C31"/>
    <mergeCell ref="E31:H31"/>
    <mergeCell ref="J31:M31"/>
    <mergeCell ref="O31:R31"/>
    <mergeCell ref="T31:W31"/>
    <mergeCell ref="Y31:AB3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207"/>
  <sheetViews>
    <sheetView zoomScale="40" zoomScaleNormal="40" workbookViewId="0">
      <selection activeCell="C9" sqref="C9"/>
    </sheetView>
  </sheetViews>
  <sheetFormatPr defaultRowHeight="14.25"/>
  <cols>
    <col min="1" max="17" width="9.140625" style="47"/>
    <col min="18" max="18" width="9.7109375" style="47" customWidth="1"/>
    <col min="19" max="16384" width="9.140625" style="47"/>
  </cols>
  <sheetData>
    <row r="1" spans="2:17" ht="27.75">
      <c r="B1" s="15" t="s">
        <v>823</v>
      </c>
      <c r="C1" s="16"/>
      <c r="D1" s="43"/>
      <c r="E1" s="16"/>
      <c r="F1" s="16"/>
      <c r="G1" s="16"/>
      <c r="H1" s="16"/>
      <c r="I1" s="16"/>
    </row>
    <row r="3" spans="2:17" ht="41.25" customHeight="1">
      <c r="B3" s="420" t="s">
        <v>824</v>
      </c>
      <c r="C3" s="421"/>
      <c r="D3" s="421"/>
      <c r="E3" s="421"/>
      <c r="F3" s="421"/>
      <c r="G3" s="421"/>
      <c r="H3" s="421"/>
      <c r="I3" s="421"/>
    </row>
    <row r="6" spans="2:17" ht="18">
      <c r="B6" s="126" t="s">
        <v>939</v>
      </c>
      <c r="C6" s="57"/>
      <c r="D6" s="57"/>
      <c r="E6" s="57"/>
      <c r="F6" s="57"/>
      <c r="G6" s="57"/>
      <c r="H6" s="57"/>
      <c r="I6" s="57"/>
      <c r="J6" s="57"/>
      <c r="K6" s="57"/>
      <c r="L6" s="57"/>
      <c r="M6" s="57"/>
      <c r="N6" s="57"/>
      <c r="O6" s="57"/>
      <c r="P6" s="57"/>
      <c r="Q6" s="57"/>
    </row>
    <row r="7" spans="2:17">
      <c r="C7" s="47" t="s">
        <v>644</v>
      </c>
    </row>
    <row r="8" spans="2:17">
      <c r="C8" s="47" t="s">
        <v>645</v>
      </c>
    </row>
    <row r="9" spans="2:17">
      <c r="C9" s="47" t="s">
        <v>646</v>
      </c>
    </row>
    <row r="11" spans="2:17">
      <c r="D11" s="57"/>
      <c r="E11" s="57"/>
      <c r="F11" s="57"/>
      <c r="G11" s="57" t="s">
        <v>648</v>
      </c>
      <c r="H11" s="57"/>
      <c r="I11" s="57"/>
      <c r="J11" s="57" t="s">
        <v>649</v>
      </c>
      <c r="K11" s="57"/>
      <c r="L11" s="57"/>
      <c r="M11" s="57"/>
      <c r="N11" s="57"/>
      <c r="O11" s="57"/>
      <c r="P11" s="57"/>
    </row>
    <row r="12" spans="2:17" ht="15">
      <c r="D12" s="79" t="s">
        <v>628</v>
      </c>
    </row>
    <row r="13" spans="2:17">
      <c r="D13" s="47" t="s">
        <v>650</v>
      </c>
      <c r="G13" s="47" t="s">
        <v>651</v>
      </c>
      <c r="J13" s="47" t="s">
        <v>652</v>
      </c>
    </row>
    <row r="14" spans="2:17">
      <c r="D14" s="47" t="s">
        <v>653</v>
      </c>
      <c r="G14" s="47" t="s">
        <v>654</v>
      </c>
      <c r="J14" s="47" t="s">
        <v>655</v>
      </c>
    </row>
    <row r="15" spans="2:17">
      <c r="D15" s="47" t="s">
        <v>656</v>
      </c>
      <c r="G15" s="47" t="s">
        <v>654</v>
      </c>
      <c r="J15" s="47" t="s">
        <v>657</v>
      </c>
    </row>
    <row r="16" spans="2:17">
      <c r="D16" s="47" t="s">
        <v>658</v>
      </c>
      <c r="G16" s="47" t="s">
        <v>659</v>
      </c>
      <c r="J16" s="47" t="s">
        <v>660</v>
      </c>
    </row>
    <row r="17" spans="4:10">
      <c r="D17" s="47" t="s">
        <v>661</v>
      </c>
      <c r="G17" s="47" t="s">
        <v>662</v>
      </c>
      <c r="J17" s="47" t="s">
        <v>663</v>
      </c>
    </row>
    <row r="19" spans="4:10" ht="15">
      <c r="D19" s="79" t="s">
        <v>597</v>
      </c>
    </row>
    <row r="20" spans="4:10">
      <c r="D20" s="47" t="s">
        <v>661</v>
      </c>
      <c r="G20" s="47" t="s">
        <v>662</v>
      </c>
      <c r="J20" s="47" t="s">
        <v>664</v>
      </c>
    </row>
    <row r="21" spans="4:10">
      <c r="D21" s="47" t="s">
        <v>650</v>
      </c>
      <c r="G21" s="47" t="s">
        <v>651</v>
      </c>
      <c r="J21" s="47" t="s">
        <v>665</v>
      </c>
    </row>
    <row r="22" spans="4:10">
      <c r="D22" s="47" t="s">
        <v>666</v>
      </c>
      <c r="G22" s="47" t="s">
        <v>667</v>
      </c>
      <c r="J22" s="47" t="s">
        <v>668</v>
      </c>
    </row>
    <row r="23" spans="4:10">
      <c r="D23" s="47" t="s">
        <v>653</v>
      </c>
      <c r="G23" s="47" t="s">
        <v>654</v>
      </c>
      <c r="J23" s="47" t="s">
        <v>668</v>
      </c>
    </row>
    <row r="25" spans="4:10" ht="15">
      <c r="D25" s="79" t="s">
        <v>596</v>
      </c>
    </row>
    <row r="26" spans="4:10">
      <c r="D26" s="47" t="s">
        <v>661</v>
      </c>
      <c r="G26" s="47" t="s">
        <v>662</v>
      </c>
      <c r="J26" s="47" t="s">
        <v>669</v>
      </c>
    </row>
    <row r="27" spans="4:10">
      <c r="D27" s="47" t="s">
        <v>650</v>
      </c>
      <c r="G27" s="47" t="s">
        <v>651</v>
      </c>
      <c r="J27" s="47" t="s">
        <v>670</v>
      </c>
    </row>
    <row r="28" spans="4:10">
      <c r="D28" s="47" t="s">
        <v>671</v>
      </c>
      <c r="G28" s="47" t="s">
        <v>672</v>
      </c>
      <c r="J28" s="47" t="s">
        <v>673</v>
      </c>
    </row>
    <row r="30" spans="4:10" ht="15">
      <c r="D30" s="79" t="s">
        <v>595</v>
      </c>
    </row>
    <row r="31" spans="4:10">
      <c r="D31" s="47" t="s">
        <v>661</v>
      </c>
      <c r="G31" s="47" t="s">
        <v>662</v>
      </c>
      <c r="J31" s="47" t="s">
        <v>674</v>
      </c>
    </row>
    <row r="32" spans="4:10">
      <c r="D32" s="47" t="s">
        <v>671</v>
      </c>
      <c r="G32" s="47" t="s">
        <v>672</v>
      </c>
      <c r="J32" s="47" t="s">
        <v>675</v>
      </c>
    </row>
    <row r="33" spans="2:17">
      <c r="D33" s="47" t="s">
        <v>676</v>
      </c>
      <c r="G33" s="47" t="s">
        <v>677</v>
      </c>
      <c r="J33" s="47" t="s">
        <v>673</v>
      </c>
    </row>
    <row r="34" spans="2:17">
      <c r="D34" s="47" t="s">
        <v>653</v>
      </c>
      <c r="G34" s="47" t="s">
        <v>654</v>
      </c>
      <c r="J34" s="47" t="s">
        <v>678</v>
      </c>
    </row>
    <row r="35" spans="2:17">
      <c r="D35" s="47" t="s">
        <v>658</v>
      </c>
      <c r="G35" s="47" t="s">
        <v>679</v>
      </c>
      <c r="J35" s="47" t="s">
        <v>678</v>
      </c>
    </row>
    <row r="36" spans="2:17">
      <c r="D36" s="47" t="s">
        <v>680</v>
      </c>
      <c r="G36" s="47" t="s">
        <v>667</v>
      </c>
      <c r="J36" s="47" t="s">
        <v>681</v>
      </c>
    </row>
    <row r="38" spans="2:17" ht="15">
      <c r="D38" s="79" t="s">
        <v>949</v>
      </c>
    </row>
    <row r="39" spans="2:17">
      <c r="D39" s="47" t="s">
        <v>661</v>
      </c>
      <c r="G39" s="47" t="s">
        <v>662</v>
      </c>
      <c r="J39" s="47" t="s">
        <v>682</v>
      </c>
    </row>
    <row r="40" spans="2:17">
      <c r="D40" s="47" t="s">
        <v>671</v>
      </c>
      <c r="G40" s="47" t="s">
        <v>672</v>
      </c>
      <c r="J40" s="47" t="s">
        <v>683</v>
      </c>
    </row>
    <row r="41" spans="2:17">
      <c r="D41" s="47" t="s">
        <v>650</v>
      </c>
      <c r="G41" s="47" t="s">
        <v>651</v>
      </c>
      <c r="J41" s="47" t="s">
        <v>684</v>
      </c>
    </row>
    <row r="42" spans="2:17" ht="15">
      <c r="D42" s="79"/>
    </row>
    <row r="43" spans="2:17" ht="15">
      <c r="D43" s="79"/>
    </row>
    <row r="44" spans="2:17" ht="18">
      <c r="B44" s="126" t="s">
        <v>940</v>
      </c>
      <c r="C44" s="57"/>
      <c r="D44" s="57"/>
      <c r="E44" s="57"/>
      <c r="F44" s="57"/>
      <c r="G44" s="57"/>
      <c r="H44" s="57"/>
      <c r="I44" s="57"/>
      <c r="J44" s="57"/>
      <c r="K44" s="57"/>
      <c r="L44" s="57"/>
      <c r="M44" s="57"/>
      <c r="N44" s="57"/>
      <c r="O44" s="57"/>
      <c r="P44" s="57"/>
      <c r="Q44" s="57"/>
    </row>
    <row r="46" spans="2:17">
      <c r="C46" s="47" t="s">
        <v>761</v>
      </c>
    </row>
    <row r="47" spans="2:17">
      <c r="C47" s="47" t="s">
        <v>762</v>
      </c>
    </row>
    <row r="48" spans="2:17">
      <c r="C48" s="47" t="s">
        <v>763</v>
      </c>
    </row>
    <row r="49" spans="2:17">
      <c r="C49" s="47" t="s">
        <v>764</v>
      </c>
    </row>
    <row r="51" spans="2:17" ht="18">
      <c r="B51" s="126" t="s">
        <v>941</v>
      </c>
      <c r="C51" s="57"/>
      <c r="D51" s="57"/>
      <c r="E51" s="57"/>
      <c r="F51" s="57"/>
      <c r="G51" s="57"/>
      <c r="H51" s="57"/>
      <c r="I51" s="57"/>
      <c r="J51" s="57"/>
      <c r="K51" s="57"/>
      <c r="L51" s="57"/>
      <c r="M51" s="57"/>
      <c r="N51" s="57"/>
      <c r="O51" s="57"/>
      <c r="P51" s="57"/>
      <c r="Q51" s="57"/>
    </row>
    <row r="53" spans="2:17">
      <c r="C53" s="47" t="s">
        <v>765</v>
      </c>
    </row>
    <row r="54" spans="2:17">
      <c r="C54" s="47" t="s">
        <v>766</v>
      </c>
    </row>
    <row r="55" spans="2:17">
      <c r="C55" s="47" t="s">
        <v>767</v>
      </c>
    </row>
    <row r="57" spans="2:17" ht="15">
      <c r="D57" s="79" t="s">
        <v>197</v>
      </c>
      <c r="H57" s="79" t="s">
        <v>768</v>
      </c>
      <c r="L57" s="79" t="s">
        <v>6</v>
      </c>
    </row>
    <row r="58" spans="2:17">
      <c r="D58" s="47" t="s">
        <v>18</v>
      </c>
      <c r="F58" s="47">
        <v>1</v>
      </c>
      <c r="G58" s="47" t="s">
        <v>213</v>
      </c>
      <c r="H58" s="122" t="s">
        <v>769</v>
      </c>
      <c r="I58" s="47">
        <v>3.6</v>
      </c>
      <c r="J58" s="47" t="s">
        <v>620</v>
      </c>
    </row>
    <row r="60" spans="2:17">
      <c r="D60" s="47" t="s">
        <v>600</v>
      </c>
      <c r="F60" s="47">
        <v>1</v>
      </c>
      <c r="G60" s="47" t="s">
        <v>770</v>
      </c>
      <c r="H60" s="122" t="s">
        <v>769</v>
      </c>
      <c r="I60" s="47">
        <v>135.5</v>
      </c>
      <c r="J60" s="47" t="s">
        <v>620</v>
      </c>
    </row>
    <row r="61" spans="2:17">
      <c r="F61" s="47">
        <v>1</v>
      </c>
      <c r="G61" s="47" t="s">
        <v>247</v>
      </c>
      <c r="H61" s="122" t="s">
        <v>769</v>
      </c>
      <c r="I61" s="47">
        <v>35.799999999999997</v>
      </c>
      <c r="J61" s="47" t="s">
        <v>620</v>
      </c>
    </row>
    <row r="62" spans="2:17">
      <c r="F62" s="47">
        <v>1</v>
      </c>
      <c r="G62" s="47" t="s">
        <v>211</v>
      </c>
      <c r="H62" s="122" t="s">
        <v>769</v>
      </c>
      <c r="I62" s="47">
        <v>42.8</v>
      </c>
      <c r="J62" s="47" t="s">
        <v>620</v>
      </c>
    </row>
    <row r="63" spans="2:17">
      <c r="F63" s="47">
        <v>1</v>
      </c>
      <c r="G63" s="47" t="s">
        <v>247</v>
      </c>
      <c r="H63" s="127" t="s">
        <v>769</v>
      </c>
      <c r="I63" s="47">
        <v>0.83699999999999997</v>
      </c>
      <c r="J63" s="47" t="s">
        <v>211</v>
      </c>
    </row>
    <row r="65" spans="4:19">
      <c r="D65" s="47" t="s">
        <v>598</v>
      </c>
      <c r="F65" s="47">
        <v>1</v>
      </c>
      <c r="G65" s="47" t="s">
        <v>770</v>
      </c>
      <c r="H65" s="122" t="s">
        <v>769</v>
      </c>
      <c r="I65" s="47">
        <v>121.3</v>
      </c>
      <c r="J65" s="47" t="s">
        <v>620</v>
      </c>
    </row>
    <row r="66" spans="4:19">
      <c r="F66" s="47">
        <v>1</v>
      </c>
      <c r="G66" s="47" t="s">
        <v>247</v>
      </c>
      <c r="H66" s="122" t="s">
        <v>769</v>
      </c>
      <c r="I66" s="47">
        <v>32.1</v>
      </c>
      <c r="J66" s="47" t="s">
        <v>620</v>
      </c>
    </row>
    <row r="67" spans="4:19">
      <c r="F67" s="47">
        <v>1</v>
      </c>
      <c r="G67" s="47" t="s">
        <v>211</v>
      </c>
      <c r="H67" s="127" t="s">
        <v>769</v>
      </c>
      <c r="I67" s="47">
        <v>43.1</v>
      </c>
      <c r="J67" s="47" t="s">
        <v>620</v>
      </c>
    </row>
    <row r="68" spans="4:19">
      <c r="F68" s="47">
        <v>1</v>
      </c>
      <c r="G68" s="47" t="s">
        <v>247</v>
      </c>
      <c r="H68" s="127" t="s">
        <v>769</v>
      </c>
      <c r="I68" s="47">
        <v>0.745</v>
      </c>
      <c r="J68" s="47" t="s">
        <v>211</v>
      </c>
    </row>
    <row r="70" spans="4:19">
      <c r="D70" s="47" t="s">
        <v>608</v>
      </c>
      <c r="F70" s="47">
        <v>1</v>
      </c>
      <c r="G70" s="47" t="s">
        <v>609</v>
      </c>
      <c r="H70" s="122" t="s">
        <v>769</v>
      </c>
      <c r="I70" s="47">
        <v>38.200000000000003</v>
      </c>
      <c r="J70" s="47" t="s">
        <v>620</v>
      </c>
    </row>
    <row r="71" spans="4:19">
      <c r="F71" s="47">
        <v>1</v>
      </c>
      <c r="G71" s="47" t="s">
        <v>211</v>
      </c>
      <c r="H71" s="127" t="s">
        <v>769</v>
      </c>
      <c r="I71" s="47">
        <v>53.2</v>
      </c>
      <c r="J71" s="47" t="s">
        <v>620</v>
      </c>
    </row>
    <row r="72" spans="4:19">
      <c r="F72" s="47">
        <v>1</v>
      </c>
      <c r="G72" s="47" t="s">
        <v>609</v>
      </c>
      <c r="H72" s="122" t="s">
        <v>769</v>
      </c>
      <c r="I72" s="47">
        <v>0.71699999999999997</v>
      </c>
      <c r="J72" s="47" t="s">
        <v>211</v>
      </c>
    </row>
    <row r="74" spans="4:19">
      <c r="D74" s="47" t="s">
        <v>614</v>
      </c>
      <c r="F74" s="47">
        <v>1</v>
      </c>
      <c r="G74" s="47" t="s">
        <v>770</v>
      </c>
      <c r="H74" s="122" t="s">
        <v>769</v>
      </c>
      <c r="I74" s="47">
        <v>88.1</v>
      </c>
      <c r="J74" s="47" t="s">
        <v>620</v>
      </c>
    </row>
    <row r="75" spans="4:19">
      <c r="F75" s="47">
        <v>1</v>
      </c>
      <c r="G75" s="47" t="s">
        <v>247</v>
      </c>
      <c r="H75" s="122" t="s">
        <v>769</v>
      </c>
      <c r="I75" s="47">
        <v>25.4</v>
      </c>
      <c r="J75" s="47" t="s">
        <v>620</v>
      </c>
      <c r="L75" s="128" t="s">
        <v>771</v>
      </c>
    </row>
    <row r="76" spans="4:19">
      <c r="F76" s="47">
        <v>1</v>
      </c>
      <c r="G76" s="47" t="s">
        <v>211</v>
      </c>
      <c r="H76" s="122" t="s">
        <v>769</v>
      </c>
      <c r="I76" s="47">
        <v>49.3</v>
      </c>
      <c r="J76" s="47" t="s">
        <v>620</v>
      </c>
      <c r="L76" s="128" t="s">
        <v>771</v>
      </c>
    </row>
    <row r="77" spans="4:19">
      <c r="F77" s="47">
        <v>1</v>
      </c>
      <c r="G77" s="47" t="s">
        <v>211</v>
      </c>
      <c r="H77" s="122" t="s">
        <v>769</v>
      </c>
      <c r="I77" s="47">
        <v>1.96</v>
      </c>
      <c r="J77" s="47" t="s">
        <v>247</v>
      </c>
      <c r="L77" s="128" t="s">
        <v>771</v>
      </c>
    </row>
    <row r="78" spans="4:19">
      <c r="O78" s="47" t="s">
        <v>772</v>
      </c>
    </row>
    <row r="79" spans="4:19">
      <c r="D79" s="47" t="s">
        <v>10</v>
      </c>
      <c r="F79" s="47">
        <v>1</v>
      </c>
      <c r="G79" s="47" t="s">
        <v>770</v>
      </c>
      <c r="H79" s="122" t="s">
        <v>769</v>
      </c>
      <c r="J79" s="47" t="s">
        <v>620</v>
      </c>
      <c r="L79" s="128" t="s">
        <v>773</v>
      </c>
      <c r="O79" s="47">
        <v>1</v>
      </c>
      <c r="P79" s="47" t="s">
        <v>774</v>
      </c>
      <c r="Q79" s="129" t="s">
        <v>769</v>
      </c>
      <c r="R79" s="87">
        <v>1000</v>
      </c>
      <c r="S79" s="47" t="s">
        <v>211</v>
      </c>
    </row>
    <row r="80" spans="4:19">
      <c r="F80" s="47">
        <v>1</v>
      </c>
      <c r="G80" s="47" t="s">
        <v>247</v>
      </c>
      <c r="H80" s="122" t="s">
        <v>769</v>
      </c>
      <c r="I80" s="47">
        <v>9.3000000000000007</v>
      </c>
      <c r="J80" s="47" t="s">
        <v>620</v>
      </c>
    </row>
    <row r="81" spans="4:12">
      <c r="F81" s="47">
        <v>1</v>
      </c>
      <c r="G81" s="47" t="s">
        <v>211</v>
      </c>
      <c r="H81" s="122" t="s">
        <v>769</v>
      </c>
      <c r="I81" s="130">
        <v>50</v>
      </c>
      <c r="J81" s="47" t="s">
        <v>620</v>
      </c>
    </row>
    <row r="83" spans="4:12">
      <c r="D83" s="47" t="s">
        <v>775</v>
      </c>
      <c r="F83" s="47">
        <v>1</v>
      </c>
      <c r="G83" s="47" t="s">
        <v>770</v>
      </c>
      <c r="H83" s="122" t="s">
        <v>769</v>
      </c>
      <c r="J83" s="47" t="s">
        <v>620</v>
      </c>
    </row>
    <row r="84" spans="4:12">
      <c r="F84" s="47">
        <v>1</v>
      </c>
      <c r="G84" s="47" t="s">
        <v>247</v>
      </c>
      <c r="H84" s="122" t="s">
        <v>769</v>
      </c>
      <c r="J84" s="47" t="s">
        <v>620</v>
      </c>
    </row>
    <row r="86" spans="4:12">
      <c r="D86" s="47" t="s">
        <v>776</v>
      </c>
      <c r="F86" s="47">
        <v>1</v>
      </c>
      <c r="G86" s="47" t="s">
        <v>247</v>
      </c>
      <c r="H86" s="122" t="s">
        <v>769</v>
      </c>
      <c r="I86" s="47">
        <v>38.5</v>
      </c>
      <c r="J86" s="47" t="s">
        <v>620</v>
      </c>
    </row>
    <row r="87" spans="4:12">
      <c r="F87" s="47">
        <v>1</v>
      </c>
      <c r="G87" s="47" t="s">
        <v>609</v>
      </c>
      <c r="H87" s="122" t="s">
        <v>769</v>
      </c>
      <c r="J87" s="47" t="s">
        <v>620</v>
      </c>
    </row>
    <row r="88" spans="4:12">
      <c r="F88" s="47">
        <v>1</v>
      </c>
      <c r="G88" s="47" t="s">
        <v>211</v>
      </c>
      <c r="H88" s="122" t="s">
        <v>769</v>
      </c>
      <c r="I88" s="47">
        <v>43.8</v>
      </c>
      <c r="J88" s="47" t="s">
        <v>620</v>
      </c>
    </row>
    <row r="89" spans="4:12">
      <c r="F89" s="47">
        <v>1</v>
      </c>
      <c r="G89" s="47" t="s">
        <v>777</v>
      </c>
      <c r="H89" s="122" t="s">
        <v>769</v>
      </c>
      <c r="I89" s="47">
        <v>140</v>
      </c>
      <c r="J89" s="47" t="s">
        <v>211</v>
      </c>
    </row>
    <row r="91" spans="4:12">
      <c r="D91" s="47" t="s">
        <v>637</v>
      </c>
      <c r="F91" s="47">
        <v>1</v>
      </c>
      <c r="G91" s="47" t="s">
        <v>211</v>
      </c>
      <c r="H91" s="122" t="s">
        <v>769</v>
      </c>
      <c r="I91" s="47">
        <v>27</v>
      </c>
      <c r="J91" s="47" t="s">
        <v>620</v>
      </c>
      <c r="L91" s="47" t="s">
        <v>778</v>
      </c>
    </row>
    <row r="92" spans="4:12">
      <c r="F92" s="47">
        <v>1</v>
      </c>
      <c r="G92" s="47" t="s">
        <v>211</v>
      </c>
      <c r="H92" s="122" t="s">
        <v>769</v>
      </c>
      <c r="I92" s="47">
        <v>23</v>
      </c>
      <c r="J92" s="47" t="s">
        <v>620</v>
      </c>
      <c r="L92" s="47" t="s">
        <v>779</v>
      </c>
    </row>
    <row r="93" spans="4:12">
      <c r="F93" s="47">
        <v>1</v>
      </c>
      <c r="G93" s="47" t="s">
        <v>211</v>
      </c>
      <c r="H93" s="122" t="s">
        <v>769</v>
      </c>
      <c r="I93" s="47">
        <v>15</v>
      </c>
      <c r="J93" s="47" t="s">
        <v>620</v>
      </c>
      <c r="L93" s="47" t="s">
        <v>533</v>
      </c>
    </row>
    <row r="94" spans="4:12">
      <c r="F94" s="47">
        <v>1</v>
      </c>
      <c r="G94" s="47" t="s">
        <v>247</v>
      </c>
      <c r="H94" s="127" t="s">
        <v>769</v>
      </c>
      <c r="I94" s="47">
        <v>1.32</v>
      </c>
      <c r="J94" s="47" t="s">
        <v>211</v>
      </c>
    </row>
    <row r="95" spans="4:12">
      <c r="F95" s="47">
        <v>1</v>
      </c>
      <c r="G95" s="47" t="s">
        <v>780</v>
      </c>
      <c r="H95" s="127" t="s">
        <v>769</v>
      </c>
      <c r="I95" s="47">
        <v>1800</v>
      </c>
      <c r="J95" s="47" t="s">
        <v>781</v>
      </c>
    </row>
    <row r="97" spans="1:38">
      <c r="A97" s="131"/>
      <c r="B97" s="131"/>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row>
    <row r="115" spans="2:17" ht="18">
      <c r="B115" s="126" t="s">
        <v>942</v>
      </c>
      <c r="C115" s="57"/>
      <c r="D115" s="57"/>
      <c r="E115" s="57"/>
      <c r="F115" s="57"/>
      <c r="G115" s="57"/>
      <c r="H115" s="57"/>
      <c r="I115" s="57"/>
      <c r="J115" s="57"/>
      <c r="K115" s="57"/>
      <c r="L115" s="57"/>
      <c r="M115" s="57"/>
      <c r="N115" s="57"/>
      <c r="O115" s="57"/>
      <c r="P115" s="57"/>
      <c r="Q115" s="57"/>
    </row>
    <row r="118" spans="2:17">
      <c r="C118" s="47" t="s">
        <v>782</v>
      </c>
    </row>
    <row r="119" spans="2:17">
      <c r="C119" s="47" t="s">
        <v>783</v>
      </c>
    </row>
    <row r="145" spans="1:38">
      <c r="A145" s="131"/>
      <c r="B145" s="131"/>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row>
    <row r="160" spans="1:38" ht="18">
      <c r="B160" s="126" t="s">
        <v>943</v>
      </c>
      <c r="C160" s="57"/>
      <c r="D160" s="57"/>
      <c r="E160" s="57"/>
      <c r="F160" s="57"/>
      <c r="G160" s="57"/>
      <c r="H160" s="57"/>
      <c r="I160" s="57"/>
      <c r="J160" s="57"/>
      <c r="K160" s="57"/>
      <c r="L160" s="57"/>
      <c r="M160" s="57"/>
      <c r="N160" s="57"/>
      <c r="O160" s="57"/>
      <c r="P160" s="57"/>
      <c r="Q160" s="57"/>
    </row>
    <row r="162" spans="2:4">
      <c r="C162" s="47" t="s">
        <v>784</v>
      </c>
    </row>
    <row r="163" spans="2:4">
      <c r="C163" s="47" t="s">
        <v>785</v>
      </c>
      <c r="D163" s="47" t="s">
        <v>786</v>
      </c>
    </row>
    <row r="164" spans="2:4">
      <c r="D164" s="47" t="s">
        <v>787</v>
      </c>
    </row>
    <row r="165" spans="2:4">
      <c r="D165" s="47" t="s">
        <v>788</v>
      </c>
    </row>
    <row r="166" spans="2:4">
      <c r="D166" s="47" t="s">
        <v>789</v>
      </c>
    </row>
    <row r="175" spans="2:4">
      <c r="B175" s="47" t="s">
        <v>790</v>
      </c>
    </row>
    <row r="179" spans="3:4">
      <c r="C179" s="47" t="s">
        <v>791</v>
      </c>
    </row>
    <row r="180" spans="3:4">
      <c r="D180" s="47" t="s">
        <v>792</v>
      </c>
    </row>
    <row r="181" spans="3:4">
      <c r="D181" s="47" t="s">
        <v>793</v>
      </c>
    </row>
    <row r="182" spans="3:4">
      <c r="D182" s="47" t="s">
        <v>794</v>
      </c>
    </row>
    <row r="183" spans="3:4">
      <c r="D183" s="47" t="s">
        <v>789</v>
      </c>
    </row>
    <row r="199" spans="1:38">
      <c r="A199" s="131"/>
      <c r="B199" s="131"/>
      <c r="C199" s="131"/>
      <c r="D199" s="131"/>
      <c r="E199" s="131"/>
      <c r="F199" s="131"/>
      <c r="G199" s="131"/>
      <c r="H199" s="131"/>
      <c r="I199" s="131"/>
      <c r="J199" s="131"/>
      <c r="K199" s="131"/>
      <c r="L199" s="131"/>
      <c r="M199" s="131"/>
      <c r="N199" s="131"/>
      <c r="O199" s="131"/>
      <c r="P199" s="131"/>
      <c r="Q199" s="131"/>
      <c r="R199" s="131"/>
      <c r="S199" s="131"/>
      <c r="T199" s="131"/>
      <c r="U199" s="131"/>
      <c r="V199" s="131"/>
      <c r="W199" s="131"/>
      <c r="X199" s="131"/>
      <c r="Y199" s="131"/>
      <c r="Z199" s="131"/>
      <c r="AA199" s="131"/>
      <c r="AB199" s="131"/>
      <c r="AC199" s="131"/>
      <c r="AD199" s="131"/>
      <c r="AE199" s="131"/>
      <c r="AF199" s="131"/>
      <c r="AG199" s="131"/>
      <c r="AH199" s="131"/>
      <c r="AI199" s="131"/>
      <c r="AJ199" s="131"/>
      <c r="AK199" s="131"/>
      <c r="AL199" s="131"/>
    </row>
    <row r="204" spans="1:38" ht="18">
      <c r="B204" s="126" t="s">
        <v>944</v>
      </c>
      <c r="C204" s="57"/>
      <c r="D204" s="57"/>
      <c r="E204" s="57"/>
      <c r="F204" s="57"/>
      <c r="G204" s="57"/>
      <c r="H204" s="57"/>
      <c r="I204" s="57"/>
      <c r="J204" s="57"/>
      <c r="K204" s="57"/>
      <c r="L204" s="57"/>
      <c r="M204" s="57"/>
      <c r="N204" s="57"/>
      <c r="O204" s="57"/>
      <c r="P204" s="57"/>
      <c r="Q204" s="57"/>
    </row>
    <row r="207" spans="1:38">
      <c r="C207" s="47" t="s">
        <v>795</v>
      </c>
    </row>
  </sheetData>
  <mergeCells count="1">
    <mergeCell ref="B3:I3"/>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X260"/>
  <sheetViews>
    <sheetView zoomScale="85" zoomScaleNormal="85" workbookViewId="0">
      <selection activeCell="C84" sqref="C84"/>
    </sheetView>
  </sheetViews>
  <sheetFormatPr defaultRowHeight="14.25"/>
  <cols>
    <col min="1" max="1" width="5.140625" style="13" customWidth="1"/>
    <col min="2" max="2" width="3.42578125" style="13" customWidth="1"/>
    <col min="3" max="3" width="19.28515625" style="13" customWidth="1"/>
    <col min="4" max="4" width="26" style="13" customWidth="1"/>
    <col min="5" max="5" width="21" style="13" customWidth="1"/>
    <col min="6" max="6" width="14.85546875" style="13" customWidth="1"/>
    <col min="7" max="7" width="16.42578125" style="13" customWidth="1"/>
    <col min="8" max="8" width="17.5703125" style="13" customWidth="1"/>
    <col min="9" max="9" width="19.28515625" style="13" customWidth="1"/>
    <col min="10" max="10" width="24.42578125" style="13" customWidth="1"/>
    <col min="11" max="11" width="27" style="13" customWidth="1"/>
    <col min="12" max="12" width="23" style="13" customWidth="1"/>
    <col min="13" max="13" width="31.28515625" style="13" customWidth="1"/>
    <col min="14" max="14" width="20.28515625" style="13" customWidth="1"/>
    <col min="15" max="15" width="32.7109375" style="13" customWidth="1"/>
    <col min="16" max="16" width="13.42578125" style="13" customWidth="1"/>
    <col min="17" max="17" width="9.140625" style="13"/>
    <col min="18" max="18" width="14.7109375" style="13" customWidth="1"/>
    <col min="19" max="19" width="12.140625" style="13" customWidth="1"/>
    <col min="20" max="20" width="13.28515625" style="13" customWidth="1"/>
    <col min="21" max="21" width="11" style="13" customWidth="1"/>
    <col min="22" max="23" width="9.140625" style="13"/>
    <col min="24" max="24" width="12.42578125" style="13" customWidth="1"/>
    <col min="25" max="16384" width="9.140625" style="13"/>
  </cols>
  <sheetData>
    <row r="2" spans="2:12" ht="24" customHeight="1">
      <c r="B2" s="132"/>
      <c r="C2" s="133" t="s">
        <v>908</v>
      </c>
      <c r="D2" s="35"/>
      <c r="E2" s="35"/>
    </row>
    <row r="3" spans="2:12" ht="15" customHeight="1">
      <c r="B3" s="132"/>
      <c r="C3" s="134"/>
    </row>
    <row r="4" spans="2:12" ht="15" customHeight="1">
      <c r="B4" s="132"/>
      <c r="C4" s="135" t="s">
        <v>251</v>
      </c>
      <c r="D4" s="24"/>
      <c r="E4" s="24"/>
      <c r="F4" s="24"/>
      <c r="G4" s="24"/>
    </row>
    <row r="5" spans="2:12" ht="15" customHeight="1">
      <c r="B5" s="132"/>
      <c r="C5" s="136" t="s">
        <v>248</v>
      </c>
      <c r="D5" s="24"/>
      <c r="E5" s="24"/>
      <c r="F5" s="24"/>
      <c r="G5" s="24"/>
    </row>
    <row r="6" spans="2:12" ht="15" customHeight="1">
      <c r="B6" s="132"/>
      <c r="C6" s="137" t="s">
        <v>249</v>
      </c>
      <c r="D6" s="24"/>
      <c r="E6" s="24"/>
      <c r="F6" s="24"/>
      <c r="G6" s="24"/>
    </row>
    <row r="7" spans="2:12" ht="15" customHeight="1">
      <c r="B7" s="132"/>
      <c r="C7" s="138" t="s">
        <v>250</v>
      </c>
      <c r="D7" s="24"/>
      <c r="E7" s="24"/>
      <c r="F7" s="24"/>
      <c r="G7" s="24"/>
    </row>
    <row r="8" spans="2:12" ht="15" customHeight="1">
      <c r="B8" s="132"/>
      <c r="C8" s="24"/>
      <c r="D8" s="24"/>
      <c r="E8" s="24"/>
      <c r="F8" s="24"/>
      <c r="G8" s="24"/>
    </row>
    <row r="10" spans="2:12" ht="15.75" customHeight="1">
      <c r="B10" s="139">
        <v>1</v>
      </c>
      <c r="C10" s="135" t="s">
        <v>283</v>
      </c>
      <c r="D10" s="136" t="s">
        <v>97</v>
      </c>
      <c r="E10" s="13" t="s">
        <v>945</v>
      </c>
    </row>
    <row r="12" spans="2:12">
      <c r="D12" s="137">
        <f>VLOOKUP(D10,'Stationary Reference'!$C$242:$D$391,2,FALSE)</f>
        <v>0.67672529999999997</v>
      </c>
      <c r="E12" s="13" t="s">
        <v>572</v>
      </c>
    </row>
    <row r="13" spans="2:12">
      <c r="L13" s="31"/>
    </row>
    <row r="14" spans="2:12">
      <c r="D14" s="140">
        <v>3.6</v>
      </c>
      <c r="E14" s="31" t="s">
        <v>843</v>
      </c>
    </row>
    <row r="15" spans="2:12">
      <c r="D15" s="141">
        <v>277777</v>
      </c>
      <c r="E15" s="31" t="s">
        <v>842</v>
      </c>
    </row>
    <row r="16" spans="2:12">
      <c r="D16" s="31"/>
      <c r="E16" s="31"/>
    </row>
    <row r="17" spans="2:22" ht="18">
      <c r="B17" s="139">
        <v>2</v>
      </c>
      <c r="C17" s="135" t="s">
        <v>809</v>
      </c>
      <c r="D17" s="31"/>
      <c r="E17" s="31"/>
    </row>
    <row r="18" spans="2:22" ht="60">
      <c r="C18" s="26"/>
      <c r="D18" s="142" t="s">
        <v>591</v>
      </c>
      <c r="E18" s="142" t="s">
        <v>576</v>
      </c>
      <c r="F18" s="142" t="s">
        <v>810</v>
      </c>
      <c r="G18" s="142" t="s">
        <v>7</v>
      </c>
      <c r="H18" s="142" t="s">
        <v>240</v>
      </c>
      <c r="I18" s="142" t="s">
        <v>238</v>
      </c>
      <c r="J18" s="142" t="s">
        <v>219</v>
      </c>
      <c r="K18" s="142" t="s">
        <v>6</v>
      </c>
    </row>
    <row r="19" spans="2:22">
      <c r="D19" s="143">
        <v>2952000000</v>
      </c>
      <c r="E19" s="144">
        <f>$D$12</f>
        <v>0.67672529999999997</v>
      </c>
      <c r="F19" s="145">
        <f>D19*E19/1000</f>
        <v>1997693.0855999999</v>
      </c>
      <c r="G19" s="146">
        <v>2010</v>
      </c>
      <c r="H19" s="147" t="s">
        <v>846</v>
      </c>
      <c r="I19" s="146" t="s">
        <v>218</v>
      </c>
      <c r="J19" s="147"/>
      <c r="K19" s="147"/>
    </row>
    <row r="20" spans="2:22">
      <c r="D20" s="31"/>
      <c r="E20" s="31"/>
    </row>
    <row r="21" spans="2:22" ht="18">
      <c r="B21" s="139">
        <v>3</v>
      </c>
      <c r="C21" s="135" t="s">
        <v>817</v>
      </c>
    </row>
    <row r="22" spans="2:22">
      <c r="C22" s="24" t="s">
        <v>562</v>
      </c>
    </row>
    <row r="23" spans="2:22">
      <c r="C23" s="24" t="s">
        <v>573</v>
      </c>
    </row>
    <row r="24" spans="2:22">
      <c r="C24" s="24" t="s">
        <v>570</v>
      </c>
    </row>
    <row r="25" spans="2:22">
      <c r="C25" s="24"/>
    </row>
    <row r="26" spans="2:22" s="148" customFormat="1" ht="31.5" customHeight="1">
      <c r="D26" s="142" t="s">
        <v>197</v>
      </c>
      <c r="E26" s="142" t="s">
        <v>606</v>
      </c>
      <c r="F26" s="142" t="s">
        <v>210</v>
      </c>
      <c r="G26" s="142" t="s">
        <v>611</v>
      </c>
      <c r="H26" s="142" t="s">
        <v>210</v>
      </c>
      <c r="I26" s="142" t="s">
        <v>612</v>
      </c>
      <c r="J26" s="142" t="s">
        <v>617</v>
      </c>
      <c r="K26" s="142" t="s">
        <v>210</v>
      </c>
      <c r="L26" s="142" t="s">
        <v>820</v>
      </c>
      <c r="M26" s="142" t="s">
        <v>7</v>
      </c>
      <c r="N26" s="142" t="s">
        <v>240</v>
      </c>
      <c r="O26" s="142" t="s">
        <v>220</v>
      </c>
      <c r="P26" s="142" t="s">
        <v>238</v>
      </c>
      <c r="Q26" s="142" t="s">
        <v>219</v>
      </c>
      <c r="R26" s="142" t="s">
        <v>6</v>
      </c>
    </row>
    <row r="27" spans="2:22" s="24" customFormat="1">
      <c r="C27" s="149"/>
      <c r="D27" s="150"/>
      <c r="E27" s="151"/>
      <c r="F27" s="151"/>
      <c r="G27" s="152"/>
      <c r="H27" s="152"/>
      <c r="I27" s="152"/>
      <c r="J27" s="153">
        <f>IF(ISTEXT(D27)=TRUE,(VLOOKUP(D27,'Stationary Reference'!$C$66:$G$118,5,FALSE)),0)</f>
        <v>0</v>
      </c>
      <c r="K27" s="152"/>
      <c r="L27" s="153">
        <f>J27*E27</f>
        <v>0</v>
      </c>
      <c r="M27" s="150"/>
      <c r="N27" s="151"/>
      <c r="O27" s="151"/>
      <c r="P27" s="150"/>
      <c r="Q27" s="151"/>
      <c r="R27" s="151"/>
    </row>
    <row r="28" spans="2:22">
      <c r="C28" s="13">
        <v>1</v>
      </c>
      <c r="D28" s="136" t="s">
        <v>510</v>
      </c>
      <c r="E28" s="154">
        <v>1900</v>
      </c>
      <c r="F28" s="155" t="s">
        <v>607</v>
      </c>
      <c r="G28" s="156">
        <v>35</v>
      </c>
      <c r="H28" s="157" t="s">
        <v>618</v>
      </c>
      <c r="I28" s="156">
        <f>E28*1000*G28</f>
        <v>66500000</v>
      </c>
      <c r="J28" s="158">
        <f>IF(ISTEXT(D28)=TRUE,(VLOOKUP(D28,'Stationary Reference'!$C$66:$G$118,5,FALSE)),0)</f>
        <v>69549</v>
      </c>
      <c r="K28" s="157" t="s">
        <v>619</v>
      </c>
      <c r="L28" s="159">
        <f>I28/1000000*J28/1000</f>
        <v>4625.0084999999999</v>
      </c>
      <c r="M28" s="150">
        <v>2010</v>
      </c>
      <c r="N28" s="160" t="s">
        <v>586</v>
      </c>
      <c r="O28" s="160" t="s">
        <v>584</v>
      </c>
      <c r="P28" s="150" t="s">
        <v>216</v>
      </c>
      <c r="Q28" s="160"/>
      <c r="R28" s="160"/>
    </row>
    <row r="29" spans="2:22">
      <c r="C29" s="13">
        <v>2</v>
      </c>
      <c r="D29" s="136" t="s">
        <v>516</v>
      </c>
      <c r="E29" s="154">
        <v>59300</v>
      </c>
      <c r="F29" s="155" t="s">
        <v>607</v>
      </c>
      <c r="G29" s="156">
        <v>38</v>
      </c>
      <c r="H29" s="157" t="s">
        <v>618</v>
      </c>
      <c r="I29" s="156">
        <f>E29*1000*G29</f>
        <v>2253400000</v>
      </c>
      <c r="J29" s="158">
        <f>IF(ISTEXT(D29)=TRUE,(VLOOKUP(D29,'Stationary Reference'!$C$66:$G$118,5,FALSE)),0)</f>
        <v>74349</v>
      </c>
      <c r="K29" s="157" t="s">
        <v>619</v>
      </c>
      <c r="L29" s="159">
        <f t="shared" ref="L29:L30" si="0">I29/1000000*J29/1000</f>
        <v>167538.03659999999</v>
      </c>
      <c r="M29" s="150">
        <v>2010</v>
      </c>
      <c r="N29" s="160" t="s">
        <v>586</v>
      </c>
      <c r="O29" s="160" t="s">
        <v>584</v>
      </c>
      <c r="P29" s="150" t="s">
        <v>216</v>
      </c>
      <c r="Q29" s="160"/>
      <c r="R29" s="160"/>
    </row>
    <row r="30" spans="2:22">
      <c r="C30" s="13">
        <v>3</v>
      </c>
      <c r="D30" s="136" t="s">
        <v>518</v>
      </c>
      <c r="E30" s="154">
        <v>25757</v>
      </c>
      <c r="F30" s="160" t="s">
        <v>601</v>
      </c>
      <c r="G30" s="161">
        <v>95</v>
      </c>
      <c r="H30" s="162" t="s">
        <v>616</v>
      </c>
      <c r="I30" s="156">
        <f>E30*1000/U31*G30</f>
        <v>1223457500</v>
      </c>
      <c r="J30" s="158">
        <f>IF(ISTEXT(D30)=TRUE,(VLOOKUP(D30,'Stationary Reference'!$C$66:$G$118,5,FALSE)),0)</f>
        <v>63152</v>
      </c>
      <c r="K30" s="157" t="s">
        <v>619</v>
      </c>
      <c r="L30" s="159">
        <f t="shared" si="0"/>
        <v>77263.788039999985</v>
      </c>
      <c r="M30" s="150">
        <v>2010</v>
      </c>
      <c r="N30" s="160" t="s">
        <v>586</v>
      </c>
      <c r="O30" s="160" t="s">
        <v>584</v>
      </c>
      <c r="P30" s="150" t="s">
        <v>216</v>
      </c>
      <c r="Q30" s="160"/>
      <c r="R30" s="160"/>
      <c r="T30" s="13" t="s">
        <v>614</v>
      </c>
      <c r="U30" s="47">
        <v>101000</v>
      </c>
      <c r="V30" s="13" t="s">
        <v>610</v>
      </c>
    </row>
    <row r="31" spans="2:22">
      <c r="C31" s="13">
        <v>4</v>
      </c>
      <c r="D31" s="136" t="s">
        <v>509</v>
      </c>
      <c r="E31" s="154">
        <v>69684000</v>
      </c>
      <c r="F31" s="160" t="s">
        <v>609</v>
      </c>
      <c r="G31" s="161">
        <v>43</v>
      </c>
      <c r="H31" s="163" t="s">
        <v>616</v>
      </c>
      <c r="I31" s="161">
        <f>E31*G31</f>
        <v>2996412000</v>
      </c>
      <c r="J31" s="158">
        <f>IF(ISTEXT(D31)=TRUE,(VLOOKUP(D31,'Stationary Reference'!$C$66:$G$118,5,FALSE)),0)</f>
        <v>64449</v>
      </c>
      <c r="K31" s="157" t="s">
        <v>619</v>
      </c>
      <c r="L31" s="164">
        <f>I31/1000000*J31/1000</f>
        <v>193115.75698799998</v>
      </c>
      <c r="M31" s="150"/>
      <c r="N31" s="160"/>
      <c r="O31" s="160"/>
      <c r="P31" s="150"/>
      <c r="Q31" s="160"/>
      <c r="R31" s="160"/>
      <c r="T31" s="13" t="s">
        <v>614</v>
      </c>
      <c r="U31" s="13">
        <v>2</v>
      </c>
      <c r="V31" s="13" t="s">
        <v>615</v>
      </c>
    </row>
    <row r="32" spans="2:22">
      <c r="C32" s="13">
        <v>5</v>
      </c>
      <c r="D32" s="136"/>
      <c r="E32" s="160"/>
      <c r="F32" s="160"/>
      <c r="G32" s="137"/>
      <c r="H32" s="137"/>
      <c r="I32" s="137"/>
      <c r="J32" s="158">
        <f>IF(ISTEXT(D32)=TRUE,(VLOOKUP(D32,'Stationary Reference'!$C$66:$G$118,5,FALSE)),0)</f>
        <v>0</v>
      </c>
      <c r="K32" s="137"/>
      <c r="L32" s="158">
        <f>J32*E32</f>
        <v>0</v>
      </c>
      <c r="M32" s="150"/>
      <c r="N32" s="160"/>
      <c r="O32" s="160"/>
      <c r="P32" s="150"/>
      <c r="Q32" s="160"/>
      <c r="R32" s="160"/>
    </row>
    <row r="33" spans="2:24">
      <c r="C33" s="13">
        <v>6</v>
      </c>
      <c r="D33" s="136"/>
      <c r="E33" s="160"/>
      <c r="F33" s="160"/>
      <c r="G33" s="137"/>
      <c r="H33" s="137"/>
      <c r="I33" s="137"/>
      <c r="J33" s="158">
        <f>IF(ISTEXT(D33)=TRUE,(VLOOKUP(D33,'Stationary Reference'!$C$66:$G$118,5,FALSE)),0)</f>
        <v>0</v>
      </c>
      <c r="K33" s="137"/>
      <c r="L33" s="158">
        <f>J33*E33</f>
        <v>0</v>
      </c>
      <c r="M33" s="150"/>
      <c r="N33" s="160"/>
      <c r="O33" s="160"/>
      <c r="P33" s="150"/>
      <c r="Q33" s="160"/>
      <c r="R33" s="160"/>
    </row>
    <row r="34" spans="2:24" ht="15" thickBot="1">
      <c r="C34" s="13">
        <v>7</v>
      </c>
      <c r="D34" s="165"/>
      <c r="E34" s="166"/>
      <c r="F34" s="166"/>
      <c r="G34" s="167"/>
      <c r="H34" s="167"/>
      <c r="I34" s="168"/>
      <c r="J34" s="169">
        <f>IF(ISTEXT(D34)=TRUE,(VLOOKUP(D34,'Stationary Reference'!$C$66:$G$118,5,FALSE)),0)</f>
        <v>0</v>
      </c>
      <c r="K34" s="167"/>
      <c r="L34" s="170">
        <f>J34*E34</f>
        <v>0</v>
      </c>
      <c r="M34" s="171"/>
      <c r="N34" s="166"/>
      <c r="O34" s="166"/>
      <c r="P34" s="171"/>
      <c r="Q34" s="166"/>
      <c r="R34" s="166"/>
    </row>
    <row r="35" spans="2:24" ht="15" thickBot="1">
      <c r="H35" s="172" t="s">
        <v>812</v>
      </c>
      <c r="I35" s="173">
        <f>SUM(I27:I34)</f>
        <v>6539769500</v>
      </c>
      <c r="J35" s="13" t="s">
        <v>620</v>
      </c>
      <c r="K35" s="172" t="s">
        <v>813</v>
      </c>
      <c r="L35" s="174">
        <f>SUM(L27:L34)</f>
        <v>442542.59012799995</v>
      </c>
      <c r="M35" s="13" t="s">
        <v>821</v>
      </c>
    </row>
    <row r="36" spans="2:24" ht="18">
      <c r="B36" s="139"/>
      <c r="C36" s="175"/>
      <c r="H36" s="24"/>
    </row>
    <row r="37" spans="2:24" ht="18">
      <c r="B37" s="139">
        <v>4</v>
      </c>
      <c r="C37" s="135" t="s">
        <v>811</v>
      </c>
      <c r="H37" s="24"/>
    </row>
    <row r="38" spans="2:24" ht="75">
      <c r="B38" s="139"/>
      <c r="C38" s="175"/>
      <c r="D38" s="142" t="s">
        <v>592</v>
      </c>
      <c r="E38" s="142" t="s">
        <v>576</v>
      </c>
      <c r="F38" s="142" t="s">
        <v>502</v>
      </c>
      <c r="G38" s="142" t="s">
        <v>7</v>
      </c>
      <c r="H38" s="142" t="s">
        <v>240</v>
      </c>
      <c r="I38" s="142" t="s">
        <v>238</v>
      </c>
      <c r="J38" s="142" t="s">
        <v>219</v>
      </c>
      <c r="K38" s="142" t="s">
        <v>6</v>
      </c>
    </row>
    <row r="39" spans="2:24" ht="18">
      <c r="B39" s="139"/>
      <c r="C39" s="175"/>
      <c r="D39" s="143">
        <v>1960000000</v>
      </c>
      <c r="E39" s="144">
        <f>$D$12</f>
        <v>0.67672529999999997</v>
      </c>
      <c r="F39" s="176">
        <f>(D39*E39)/1000</f>
        <v>1326381.588</v>
      </c>
      <c r="G39" s="146">
        <v>2010</v>
      </c>
      <c r="H39" s="147" t="s">
        <v>846</v>
      </c>
      <c r="I39" s="146" t="s">
        <v>218</v>
      </c>
      <c r="J39" s="147"/>
      <c r="K39" s="147"/>
    </row>
    <row r="40" spans="2:24" ht="18">
      <c r="B40" s="139"/>
      <c r="C40" s="175"/>
      <c r="H40" s="24"/>
    </row>
    <row r="41" spans="2:24" ht="18">
      <c r="B41" s="139"/>
      <c r="C41" s="175"/>
    </row>
    <row r="42" spans="2:24" ht="18">
      <c r="B42" s="139">
        <v>5</v>
      </c>
      <c r="C42" s="135" t="s">
        <v>816</v>
      </c>
    </row>
    <row r="43" spans="2:24">
      <c r="C43" s="24" t="s">
        <v>571</v>
      </c>
    </row>
    <row r="44" spans="2:24">
      <c r="C44" s="24" t="s">
        <v>569</v>
      </c>
    </row>
    <row r="45" spans="2:24">
      <c r="C45" s="24"/>
    </row>
    <row r="46" spans="2:24" s="148" customFormat="1" ht="31.5" customHeight="1">
      <c r="D46" s="142" t="s">
        <v>197</v>
      </c>
      <c r="E46" s="142" t="s">
        <v>606</v>
      </c>
      <c r="F46" s="142" t="s">
        <v>1</v>
      </c>
      <c r="G46" s="142" t="s">
        <v>611</v>
      </c>
      <c r="H46" s="142" t="s">
        <v>1</v>
      </c>
      <c r="I46" s="142" t="s">
        <v>612</v>
      </c>
      <c r="J46" s="142" t="s">
        <v>590</v>
      </c>
      <c r="K46" s="142" t="s">
        <v>820</v>
      </c>
      <c r="L46" s="142" t="s">
        <v>7</v>
      </c>
      <c r="M46" s="142" t="s">
        <v>240</v>
      </c>
      <c r="N46" s="142" t="s">
        <v>220</v>
      </c>
      <c r="O46" s="142" t="s">
        <v>238</v>
      </c>
      <c r="P46" s="142" t="s">
        <v>219</v>
      </c>
      <c r="Q46" s="142" t="s">
        <v>6</v>
      </c>
      <c r="U46" s="177"/>
    </row>
    <row r="47" spans="2:24" s="24" customFormat="1">
      <c r="C47" s="149"/>
      <c r="D47" s="150"/>
      <c r="E47" s="151"/>
      <c r="F47" s="178"/>
      <c r="G47" s="179"/>
      <c r="H47" s="179"/>
      <c r="I47" s="179"/>
      <c r="J47" s="158">
        <f>IF(ISTEXT(D47)=TRUE,(VLOOKUP(D47,'Stationary Reference'!$C$184:$G$236,5,FALSE)),0)</f>
        <v>0</v>
      </c>
      <c r="K47" s="180"/>
      <c r="L47" s="150"/>
      <c r="M47" s="151"/>
      <c r="N47" s="151"/>
      <c r="O47" s="150"/>
      <c r="P47" s="151"/>
      <c r="Q47" s="151"/>
    </row>
    <row r="48" spans="2:24">
      <c r="C48" s="13">
        <v>1</v>
      </c>
      <c r="D48" s="136"/>
      <c r="E48" s="154"/>
      <c r="F48" s="181"/>
      <c r="G48" s="161"/>
      <c r="H48" s="162"/>
      <c r="I48" s="161"/>
      <c r="J48" s="158">
        <f>IF(ISTEXT(D48)=TRUE,(VLOOKUP(D48,'Stationary Reference'!$C$184:$G$236,5,FALSE)),0)</f>
        <v>0</v>
      </c>
      <c r="K48" s="164"/>
      <c r="L48" s="150">
        <v>2010</v>
      </c>
      <c r="M48" s="160" t="s">
        <v>605</v>
      </c>
      <c r="N48" s="160" t="s">
        <v>584</v>
      </c>
      <c r="O48" s="150" t="s">
        <v>218</v>
      </c>
      <c r="P48" s="160"/>
      <c r="Q48" s="160"/>
      <c r="R48" s="182"/>
      <c r="W48" s="182"/>
      <c r="X48" s="182"/>
    </row>
    <row r="49" spans="2:24">
      <c r="C49" s="13">
        <v>2</v>
      </c>
      <c r="D49" s="136" t="s">
        <v>509</v>
      </c>
      <c r="E49" s="154">
        <v>1050000</v>
      </c>
      <c r="F49" s="183" t="s">
        <v>609</v>
      </c>
      <c r="G49" s="161">
        <v>43</v>
      </c>
      <c r="H49" s="163" t="s">
        <v>616</v>
      </c>
      <c r="I49" s="161">
        <f>E49*G49</f>
        <v>45150000</v>
      </c>
      <c r="J49" s="158">
        <f>IF(ISTEXT(D49)=TRUE,(VLOOKUP(D49,'Stationary Reference'!$C$184:$G$236,5,FALSE)),0)</f>
        <v>64596</v>
      </c>
      <c r="K49" s="164">
        <f>I49/1000000*J49/1000</f>
        <v>2916.5093999999999</v>
      </c>
      <c r="L49" s="150">
        <v>2010</v>
      </c>
      <c r="M49" s="160" t="s">
        <v>613</v>
      </c>
      <c r="N49" s="160"/>
      <c r="O49" s="150"/>
      <c r="P49" s="160"/>
      <c r="Q49" s="160"/>
      <c r="R49" s="182"/>
      <c r="W49" s="182"/>
      <c r="X49" s="182"/>
    </row>
    <row r="50" spans="2:24">
      <c r="C50" s="13">
        <v>3</v>
      </c>
      <c r="D50" s="136"/>
      <c r="E50" s="154"/>
      <c r="F50" s="183"/>
      <c r="G50" s="161"/>
      <c r="H50" s="163"/>
      <c r="I50" s="161"/>
      <c r="J50" s="158">
        <f>IF(ISTEXT(D50)=TRUE,(VLOOKUP(D50,'Stationary Reference'!$C$184:$G$236,5,FALSE)),0)</f>
        <v>0</v>
      </c>
      <c r="K50" s="184"/>
      <c r="L50" s="150"/>
      <c r="M50" s="160"/>
      <c r="N50" s="160"/>
      <c r="O50" s="150"/>
      <c r="P50" s="160"/>
      <c r="Q50" s="160"/>
      <c r="R50" s="182"/>
      <c r="W50" s="182"/>
      <c r="X50" s="182"/>
    </row>
    <row r="51" spans="2:24">
      <c r="C51" s="13">
        <v>4</v>
      </c>
      <c r="D51" s="136"/>
      <c r="E51" s="160"/>
      <c r="F51" s="183"/>
      <c r="G51" s="185"/>
      <c r="H51" s="185"/>
      <c r="I51" s="185"/>
      <c r="J51" s="158">
        <f>IF(ISTEXT(D51)=TRUE,(VLOOKUP(D51,'Stationary Reference'!$C$184:$G$236,5,FALSE)),0)</f>
        <v>0</v>
      </c>
      <c r="K51" s="184"/>
      <c r="L51" s="150"/>
      <c r="M51" s="160"/>
      <c r="N51" s="160"/>
      <c r="O51" s="150"/>
      <c r="P51" s="160"/>
      <c r="Q51" s="160"/>
    </row>
    <row r="52" spans="2:24">
      <c r="C52" s="13">
        <v>5</v>
      </c>
      <c r="D52" s="136"/>
      <c r="E52" s="160"/>
      <c r="F52" s="183"/>
      <c r="G52" s="185"/>
      <c r="H52" s="185"/>
      <c r="I52" s="185"/>
      <c r="J52" s="158">
        <f>IF(ISTEXT(D52)=TRUE,(VLOOKUP(D52,'Stationary Reference'!$C$184:$G$236,5,FALSE)),0)</f>
        <v>0</v>
      </c>
      <c r="K52" s="184"/>
      <c r="L52" s="150"/>
      <c r="M52" s="160"/>
      <c r="N52" s="160"/>
      <c r="O52" s="150"/>
      <c r="P52" s="160"/>
      <c r="Q52" s="160"/>
    </row>
    <row r="53" spans="2:24">
      <c r="C53" s="13">
        <v>6</v>
      </c>
      <c r="D53" s="136"/>
      <c r="E53" s="160"/>
      <c r="F53" s="183"/>
      <c r="G53" s="185"/>
      <c r="H53" s="185"/>
      <c r="I53" s="185"/>
      <c r="J53" s="158">
        <f>IF(ISTEXT(D53)=TRUE,(VLOOKUP(D53,'Stationary Reference'!$C$184:$G$236,5,FALSE)),0)</f>
        <v>0</v>
      </c>
      <c r="K53" s="184"/>
      <c r="L53" s="150"/>
      <c r="M53" s="160"/>
      <c r="N53" s="160"/>
      <c r="O53" s="150"/>
      <c r="P53" s="160"/>
      <c r="Q53" s="160"/>
    </row>
    <row r="54" spans="2:24">
      <c r="C54" s="13">
        <v>7</v>
      </c>
      <c r="D54" s="136"/>
      <c r="E54" s="160"/>
      <c r="F54" s="160"/>
      <c r="G54" s="137"/>
      <c r="H54" s="137"/>
      <c r="I54" s="137"/>
      <c r="J54" s="158">
        <f>IF(ISTEXT(D54)=TRUE,(VLOOKUP(D54,'Stationary Reference'!$C$184:$G$236,5,FALSE)),0)</f>
        <v>0</v>
      </c>
      <c r="K54" s="184"/>
      <c r="L54" s="150"/>
      <c r="M54" s="160"/>
      <c r="N54" s="160"/>
      <c r="O54" s="150"/>
      <c r="P54" s="160"/>
      <c r="Q54" s="160"/>
      <c r="T54" s="47"/>
    </row>
    <row r="55" spans="2:24">
      <c r="C55" s="13">
        <v>8</v>
      </c>
      <c r="D55" s="136"/>
      <c r="E55" s="160"/>
      <c r="F55" s="160"/>
      <c r="G55" s="137"/>
      <c r="H55" s="137"/>
      <c r="I55" s="137"/>
      <c r="J55" s="158">
        <f>IF(ISTEXT(D55)=TRUE,(VLOOKUP(D55,'Stationary Reference'!$C$184:$G$236,5,FALSE)),0)</f>
        <v>0</v>
      </c>
      <c r="K55" s="184"/>
      <c r="L55" s="150"/>
      <c r="M55" s="160"/>
      <c r="N55" s="160"/>
      <c r="O55" s="150"/>
      <c r="P55" s="160"/>
      <c r="Q55" s="160"/>
    </row>
    <row r="56" spans="2:24" ht="15" thickBot="1">
      <c r="C56" s="13">
        <v>9</v>
      </c>
      <c r="D56" s="165"/>
      <c r="E56" s="166"/>
      <c r="F56" s="166"/>
      <c r="G56" s="167"/>
      <c r="H56" s="167"/>
      <c r="I56" s="168"/>
      <c r="J56" s="169">
        <f>IF(ISTEXT(D56)=TRUE,(VLOOKUP(D56,'Stationary Reference'!$C$184:$G$236,5,FALSE)),0)</f>
        <v>0</v>
      </c>
      <c r="K56" s="186"/>
      <c r="L56" s="171"/>
      <c r="M56" s="166"/>
      <c r="N56" s="166"/>
      <c r="O56" s="171"/>
      <c r="P56" s="166"/>
      <c r="Q56" s="166"/>
    </row>
    <row r="57" spans="2:24" ht="15" thickBot="1">
      <c r="H57" s="172" t="s">
        <v>819</v>
      </c>
      <c r="I57" s="173">
        <f>SUM(I47:I56)</f>
        <v>45150000</v>
      </c>
      <c r="J57" s="13" t="s">
        <v>620</v>
      </c>
      <c r="K57" s="174">
        <f>SUM(K47:K56)</f>
        <v>2916.5093999999999</v>
      </c>
      <c r="L57" s="13" t="s">
        <v>821</v>
      </c>
    </row>
    <row r="58" spans="2:24">
      <c r="K58" s="172" t="s">
        <v>813</v>
      </c>
    </row>
    <row r="59" spans="2:24" ht="18">
      <c r="B59" s="139">
        <v>6</v>
      </c>
      <c r="C59" s="135" t="s">
        <v>841</v>
      </c>
    </row>
    <row r="60" spans="2:24" ht="60">
      <c r="D60" s="142" t="s">
        <v>593</v>
      </c>
      <c r="E60" s="142" t="s">
        <v>576</v>
      </c>
      <c r="F60" s="142" t="s">
        <v>502</v>
      </c>
      <c r="G60" s="142" t="s">
        <v>7</v>
      </c>
      <c r="H60" s="142" t="s">
        <v>240</v>
      </c>
      <c r="I60" s="142" t="s">
        <v>238</v>
      </c>
      <c r="J60" s="142" t="s">
        <v>219</v>
      </c>
      <c r="K60" s="142" t="s">
        <v>6</v>
      </c>
    </row>
    <row r="61" spans="2:24">
      <c r="D61" s="143">
        <v>1800000000</v>
      </c>
      <c r="E61" s="144">
        <f>$D$12</f>
        <v>0.67672529999999997</v>
      </c>
      <c r="F61" s="176">
        <f>(D61*E61)/1000</f>
        <v>1218105.54</v>
      </c>
      <c r="G61" s="146">
        <v>2010</v>
      </c>
      <c r="H61" s="147" t="s">
        <v>846</v>
      </c>
      <c r="I61" s="146" t="s">
        <v>218</v>
      </c>
      <c r="J61" s="147"/>
      <c r="K61" s="147"/>
    </row>
    <row r="65" spans="2:24">
      <c r="D65" s="31"/>
      <c r="E65" s="31"/>
      <c r="F65" s="31"/>
      <c r="G65" s="187"/>
      <c r="H65" s="24"/>
      <c r="I65" s="187"/>
      <c r="J65" s="187"/>
      <c r="K65" s="187"/>
    </row>
    <row r="66" spans="2:24" ht="18">
      <c r="B66" s="139">
        <v>7</v>
      </c>
      <c r="C66" s="135" t="s">
        <v>815</v>
      </c>
    </row>
    <row r="67" spans="2:24">
      <c r="C67" s="24" t="s">
        <v>814</v>
      </c>
    </row>
    <row r="68" spans="2:24">
      <c r="C68" s="24"/>
      <c r="S68" s="47"/>
    </row>
    <row r="69" spans="2:24" s="148" customFormat="1" ht="31.5" customHeight="1">
      <c r="D69" s="142" t="s">
        <v>197</v>
      </c>
      <c r="E69" s="142" t="s">
        <v>606</v>
      </c>
      <c r="F69" s="142" t="s">
        <v>1</v>
      </c>
      <c r="G69" s="142" t="s">
        <v>611</v>
      </c>
      <c r="H69" s="142" t="s">
        <v>1</v>
      </c>
      <c r="I69" s="142" t="s">
        <v>612</v>
      </c>
      <c r="J69" s="142" t="s">
        <v>590</v>
      </c>
      <c r="K69" s="142" t="s">
        <v>820</v>
      </c>
      <c r="L69" s="142" t="s">
        <v>7</v>
      </c>
      <c r="M69" s="142" t="s">
        <v>240</v>
      </c>
      <c r="N69" s="142" t="s">
        <v>220</v>
      </c>
      <c r="O69" s="142" t="s">
        <v>238</v>
      </c>
      <c r="P69" s="142" t="s">
        <v>219</v>
      </c>
      <c r="Q69" s="142" t="s">
        <v>6</v>
      </c>
      <c r="U69" s="177"/>
    </row>
    <row r="70" spans="2:24" s="24" customFormat="1">
      <c r="C70" s="149"/>
      <c r="D70" s="150"/>
      <c r="E70" s="151"/>
      <c r="F70" s="178"/>
      <c r="G70" s="179"/>
      <c r="H70" s="179"/>
      <c r="I70" s="179"/>
      <c r="J70" s="153">
        <f>IF(ISTEXT(I70)=TRUE,(VLOOKUP(I70,'Stationary Reference'!$B$184:$G$236,5,FALSE)),0)</f>
        <v>0</v>
      </c>
      <c r="K70" s="180"/>
      <c r="L70" s="150"/>
      <c r="M70" s="151"/>
      <c r="N70" s="151"/>
      <c r="O70" s="150"/>
      <c r="P70" s="151"/>
      <c r="Q70" s="151"/>
    </row>
    <row r="71" spans="2:24">
      <c r="C71" s="13">
        <v>1</v>
      </c>
      <c r="D71" s="136" t="s">
        <v>518</v>
      </c>
      <c r="E71" s="154">
        <v>116478</v>
      </c>
      <c r="F71" s="181" t="s">
        <v>601</v>
      </c>
      <c r="G71" s="161">
        <v>95</v>
      </c>
      <c r="H71" s="162" t="s">
        <v>616</v>
      </c>
      <c r="I71" s="161">
        <f>E71*1000/S71*G71</f>
        <v>5532705000</v>
      </c>
      <c r="J71" s="158">
        <f>IF(ISTEXT(D71)=TRUE,(VLOOKUP(D71,'Stationary Reference'!$C$184:$G$236,5,FALSE)),0)</f>
        <v>63236</v>
      </c>
      <c r="K71" s="164">
        <f>I71/1000000*J71/1000</f>
        <v>349866.13338000001</v>
      </c>
      <c r="L71" s="150">
        <v>2010</v>
      </c>
      <c r="M71" s="160" t="s">
        <v>605</v>
      </c>
      <c r="N71" s="160" t="s">
        <v>584</v>
      </c>
      <c r="O71" s="150" t="s">
        <v>218</v>
      </c>
      <c r="P71" s="160"/>
      <c r="Q71" s="160"/>
      <c r="R71" s="172" t="s">
        <v>614</v>
      </c>
      <c r="S71" s="13">
        <v>2</v>
      </c>
      <c r="T71" s="13" t="s">
        <v>615</v>
      </c>
      <c r="W71" s="182"/>
      <c r="X71" s="182"/>
    </row>
    <row r="72" spans="2:24">
      <c r="C72" s="13">
        <v>2</v>
      </c>
      <c r="D72" s="136" t="s">
        <v>509</v>
      </c>
      <c r="E72" s="154">
        <v>140000</v>
      </c>
      <c r="F72" s="183" t="s">
        <v>609</v>
      </c>
      <c r="G72" s="161">
        <v>43</v>
      </c>
      <c r="H72" s="163" t="s">
        <v>616</v>
      </c>
      <c r="I72" s="161">
        <f>E72*G72</f>
        <v>6020000</v>
      </c>
      <c r="J72" s="158">
        <f>IF(ISTEXT(D72)=TRUE,(VLOOKUP(D72,'Stationary Reference'!$C$184:$G$236,5,FALSE)),0)</f>
        <v>64596</v>
      </c>
      <c r="K72" s="164">
        <f>I72/1000000*J72/1000</f>
        <v>388.86791999999997</v>
      </c>
      <c r="L72" s="150">
        <v>2010</v>
      </c>
      <c r="M72" s="160" t="s">
        <v>613</v>
      </c>
      <c r="N72" s="160"/>
      <c r="O72" s="150"/>
      <c r="P72" s="160"/>
      <c r="Q72" s="160"/>
      <c r="R72" s="182"/>
      <c r="W72" s="182"/>
      <c r="X72" s="182"/>
    </row>
    <row r="73" spans="2:24">
      <c r="C73" s="13">
        <v>3</v>
      </c>
      <c r="D73" s="136"/>
      <c r="E73" s="160"/>
      <c r="F73" s="183"/>
      <c r="G73" s="185"/>
      <c r="H73" s="185"/>
      <c r="I73" s="185"/>
      <c r="J73" s="158">
        <f>IF(ISTEXT(D73)=TRUE,(VLOOKUP(D73,'Stationary Reference'!$C$184:$G$236,5,FALSE)),0)</f>
        <v>0</v>
      </c>
      <c r="K73" s="184"/>
      <c r="L73" s="150"/>
      <c r="M73" s="160"/>
      <c r="N73" s="160"/>
      <c r="O73" s="150"/>
      <c r="P73" s="160"/>
      <c r="Q73" s="160"/>
      <c r="R73" s="182"/>
      <c r="W73" s="182"/>
      <c r="X73" s="182"/>
    </row>
    <row r="74" spans="2:24">
      <c r="C74" s="13">
        <v>4</v>
      </c>
      <c r="D74" s="136"/>
      <c r="E74" s="160"/>
      <c r="F74" s="183"/>
      <c r="G74" s="185"/>
      <c r="H74" s="185"/>
      <c r="I74" s="185"/>
      <c r="J74" s="158">
        <f>IF(ISTEXT(I74)=TRUE,(VLOOKUP(I74,'Stationary Reference'!$B$184:$G$236,5,FALSE)),0)</f>
        <v>0</v>
      </c>
      <c r="K74" s="184"/>
      <c r="L74" s="150"/>
      <c r="M74" s="160"/>
      <c r="N74" s="160"/>
      <c r="O74" s="150"/>
      <c r="P74" s="160"/>
      <c r="Q74" s="160"/>
    </row>
    <row r="75" spans="2:24">
      <c r="C75" s="13">
        <v>5</v>
      </c>
      <c r="D75" s="136"/>
      <c r="E75" s="160"/>
      <c r="F75" s="183"/>
      <c r="G75" s="185"/>
      <c r="H75" s="185"/>
      <c r="I75" s="185"/>
      <c r="J75" s="158">
        <f>IF(ISTEXT(I75)=TRUE,(VLOOKUP(I75,'Stationary Reference'!$B$184:$G$236,5,FALSE)),0)</f>
        <v>0</v>
      </c>
      <c r="K75" s="184"/>
      <c r="L75" s="150"/>
      <c r="M75" s="160"/>
      <c r="N75" s="160"/>
      <c r="O75" s="150"/>
      <c r="P75" s="160"/>
      <c r="Q75" s="160"/>
    </row>
    <row r="76" spans="2:24">
      <c r="C76" s="13">
        <v>6</v>
      </c>
      <c r="D76" s="136"/>
      <c r="E76" s="160"/>
      <c r="F76" s="183"/>
      <c r="G76" s="185"/>
      <c r="H76" s="185"/>
      <c r="I76" s="185"/>
      <c r="J76" s="158">
        <f>IF(ISTEXT(I76)=TRUE,(VLOOKUP(I76,'Stationary Reference'!$B$184:$G$236,5,FALSE)),0)</f>
        <v>0</v>
      </c>
      <c r="K76" s="184"/>
      <c r="L76" s="150"/>
      <c r="M76" s="160"/>
      <c r="N76" s="160"/>
      <c r="O76" s="150"/>
      <c r="P76" s="160"/>
      <c r="Q76" s="160"/>
    </row>
    <row r="77" spans="2:24">
      <c r="C77" s="13">
        <v>7</v>
      </c>
      <c r="D77" s="136"/>
      <c r="E77" s="160"/>
      <c r="F77" s="160"/>
      <c r="G77" s="137"/>
      <c r="H77" s="137"/>
      <c r="I77" s="137"/>
      <c r="J77" s="158">
        <f>IF(ISTEXT(I77)=TRUE,(VLOOKUP(I77,'Stationary Reference'!$B$184:$G$236,5,FALSE)),0)</f>
        <v>0</v>
      </c>
      <c r="K77" s="184"/>
      <c r="L77" s="150"/>
      <c r="M77" s="160"/>
      <c r="N77" s="160"/>
      <c r="O77" s="150"/>
      <c r="P77" s="160"/>
      <c r="Q77" s="160"/>
      <c r="T77" s="47"/>
    </row>
    <row r="78" spans="2:24">
      <c r="C78" s="13">
        <v>8</v>
      </c>
      <c r="D78" s="136"/>
      <c r="E78" s="160"/>
      <c r="F78" s="160"/>
      <c r="G78" s="137"/>
      <c r="H78" s="137"/>
      <c r="I78" s="137"/>
      <c r="J78" s="158">
        <f>IF(ISTEXT(I78)=TRUE,(VLOOKUP(I78,'Stationary Reference'!$B$184:$G$236,5,FALSE)),0)</f>
        <v>0</v>
      </c>
      <c r="K78" s="184"/>
      <c r="L78" s="150"/>
      <c r="M78" s="160"/>
      <c r="N78" s="160"/>
      <c r="O78" s="150"/>
      <c r="P78" s="160"/>
      <c r="Q78" s="160"/>
    </row>
    <row r="79" spans="2:24" ht="15" thickBot="1">
      <c r="C79" s="13">
        <v>9</v>
      </c>
      <c r="D79" s="165"/>
      <c r="E79" s="166"/>
      <c r="F79" s="166"/>
      <c r="G79" s="167"/>
      <c r="H79" s="167"/>
      <c r="I79" s="168"/>
      <c r="J79" s="169">
        <f>IF(ISTEXT(I79)=TRUE,(VLOOKUP(I79,'Stationary Reference'!$B$184:$G$236,5,FALSE)),0)</f>
        <v>0</v>
      </c>
      <c r="K79" s="186"/>
      <c r="L79" s="171"/>
      <c r="M79" s="166"/>
      <c r="N79" s="166"/>
      <c r="O79" s="171"/>
      <c r="P79" s="166"/>
      <c r="Q79" s="166"/>
    </row>
    <row r="80" spans="2:24" ht="15" thickBot="1">
      <c r="H80" s="172" t="s">
        <v>818</v>
      </c>
      <c r="I80" s="173">
        <f>SUM(I70:I79)</f>
        <v>5538725000</v>
      </c>
      <c r="J80" s="13" t="s">
        <v>588</v>
      </c>
      <c r="K80" s="174">
        <f>SUM(K70:K79)</f>
        <v>350255.0013</v>
      </c>
      <c r="L80" s="13" t="s">
        <v>821</v>
      </c>
    </row>
    <row r="81" spans="2:24" ht="18">
      <c r="B81" s="139"/>
      <c r="C81" s="175"/>
      <c r="K81" s="172" t="s">
        <v>844</v>
      </c>
    </row>
    <row r="83" spans="2:24" ht="18">
      <c r="B83" s="139">
        <v>8</v>
      </c>
      <c r="C83" s="135" t="s">
        <v>953</v>
      </c>
    </row>
    <row r="84" spans="2:24" ht="60">
      <c r="D84" s="142" t="s">
        <v>593</v>
      </c>
      <c r="E84" s="142" t="s">
        <v>576</v>
      </c>
      <c r="F84" s="142" t="s">
        <v>502</v>
      </c>
      <c r="G84" s="142" t="s">
        <v>7</v>
      </c>
      <c r="H84" s="142" t="s">
        <v>240</v>
      </c>
      <c r="I84" s="142" t="s">
        <v>238</v>
      </c>
      <c r="J84" s="142" t="s">
        <v>219</v>
      </c>
      <c r="K84" s="142" t="s">
        <v>6</v>
      </c>
    </row>
    <row r="85" spans="2:24">
      <c r="C85" s="13" t="s">
        <v>905</v>
      </c>
      <c r="D85" s="143">
        <v>228000000</v>
      </c>
      <c r="E85" s="144">
        <f>$D$12</f>
        <v>0.67672529999999997</v>
      </c>
      <c r="F85" s="176">
        <f>(D85*E85)/1000</f>
        <v>154293.36840000001</v>
      </c>
      <c r="G85" s="146">
        <v>2010</v>
      </c>
      <c r="H85" s="147" t="s">
        <v>846</v>
      </c>
      <c r="I85" s="146" t="s">
        <v>217</v>
      </c>
      <c r="J85" s="147"/>
      <c r="K85" s="147"/>
    </row>
    <row r="86" spans="2:24">
      <c r="C86" s="13" t="s">
        <v>906</v>
      </c>
      <c r="D86" s="143">
        <v>100000000</v>
      </c>
      <c r="E86" s="144">
        <f>$D$12</f>
        <v>0.67672529999999997</v>
      </c>
      <c r="F86" s="176">
        <f>(D86*E86)/1000</f>
        <v>67672.53</v>
      </c>
      <c r="G86" s="146">
        <v>2010</v>
      </c>
      <c r="H86" s="147" t="s">
        <v>846</v>
      </c>
      <c r="I86" s="146" t="s">
        <v>217</v>
      </c>
      <c r="J86" s="147"/>
      <c r="K86" s="147"/>
    </row>
    <row r="90" spans="2:24">
      <c r="D90" s="31"/>
      <c r="E90" s="31"/>
      <c r="F90" s="31"/>
      <c r="G90" s="187"/>
      <c r="H90" s="24"/>
      <c r="I90" s="187"/>
      <c r="J90" s="187"/>
      <c r="K90" s="187"/>
    </row>
    <row r="91" spans="2:24" ht="18">
      <c r="B91" s="139">
        <v>9</v>
      </c>
      <c r="C91" s="135" t="s">
        <v>952</v>
      </c>
    </row>
    <row r="92" spans="2:24">
      <c r="C92" s="24" t="s">
        <v>845</v>
      </c>
    </row>
    <row r="93" spans="2:24">
      <c r="C93" s="24"/>
      <c r="S93" s="47"/>
    </row>
    <row r="94" spans="2:24" s="148" customFormat="1" ht="31.5" customHeight="1">
      <c r="D94" s="142" t="s">
        <v>197</v>
      </c>
      <c r="E94" s="142" t="s">
        <v>606</v>
      </c>
      <c r="F94" s="142" t="s">
        <v>1</v>
      </c>
      <c r="G94" s="142" t="s">
        <v>611</v>
      </c>
      <c r="H94" s="142" t="s">
        <v>1</v>
      </c>
      <c r="I94" s="142" t="s">
        <v>612</v>
      </c>
      <c r="J94" s="142" t="s">
        <v>590</v>
      </c>
      <c r="K94" s="142" t="s">
        <v>820</v>
      </c>
      <c r="L94" s="142" t="s">
        <v>7</v>
      </c>
      <c r="M94" s="142" t="s">
        <v>240</v>
      </c>
      <c r="N94" s="142" t="s">
        <v>220</v>
      </c>
      <c r="O94" s="142" t="s">
        <v>238</v>
      </c>
      <c r="P94" s="142" t="s">
        <v>219</v>
      </c>
      <c r="Q94" s="142" t="s">
        <v>6</v>
      </c>
      <c r="U94" s="177"/>
    </row>
    <row r="95" spans="2:24" s="24" customFormat="1">
      <c r="C95" s="149"/>
      <c r="D95" s="150"/>
      <c r="E95" s="151"/>
      <c r="F95" s="178"/>
      <c r="G95" s="179"/>
      <c r="H95" s="179"/>
      <c r="I95" s="179"/>
      <c r="J95" s="153">
        <f>IF(ISTEXT(I95)=TRUE,(VLOOKUP(I95,'Stationary Reference'!$B$184:$G$236,5,FALSE)),0)</f>
        <v>0</v>
      </c>
      <c r="K95" s="180"/>
      <c r="L95" s="150"/>
      <c r="M95" s="151"/>
      <c r="N95" s="151"/>
      <c r="O95" s="150"/>
      <c r="P95" s="151"/>
      <c r="Q95" s="151"/>
    </row>
    <row r="96" spans="2:24">
      <c r="C96" s="13">
        <v>1</v>
      </c>
      <c r="D96" s="136" t="s">
        <v>518</v>
      </c>
      <c r="E96" s="154">
        <v>116478</v>
      </c>
      <c r="F96" s="181" t="s">
        <v>601</v>
      </c>
      <c r="G96" s="161">
        <v>95</v>
      </c>
      <c r="H96" s="162" t="s">
        <v>616</v>
      </c>
      <c r="I96" s="161">
        <f>E96*1000/S96*G96</f>
        <v>5532705000</v>
      </c>
      <c r="J96" s="158">
        <f>IF(ISTEXT(D96)=TRUE,(VLOOKUP(D96,'Stationary Reference'!$C$184:$G$236,5,FALSE)),0)</f>
        <v>63236</v>
      </c>
      <c r="K96" s="164">
        <f>I96/1000000*J96/1000</f>
        <v>349866.13338000001</v>
      </c>
      <c r="L96" s="150">
        <v>2010</v>
      </c>
      <c r="M96" s="160" t="s">
        <v>605</v>
      </c>
      <c r="N96" s="160" t="s">
        <v>584</v>
      </c>
      <c r="O96" s="150" t="s">
        <v>218</v>
      </c>
      <c r="P96" s="160"/>
      <c r="Q96" s="160"/>
      <c r="R96" s="172" t="s">
        <v>614</v>
      </c>
      <c r="S96" s="13">
        <v>2</v>
      </c>
      <c r="T96" s="13" t="s">
        <v>615</v>
      </c>
      <c r="W96" s="182"/>
      <c r="X96" s="182"/>
    </row>
    <row r="97" spans="2:24">
      <c r="C97" s="13">
        <v>2</v>
      </c>
      <c r="D97" s="136" t="s">
        <v>509</v>
      </c>
      <c r="E97" s="154">
        <v>140000</v>
      </c>
      <c r="F97" s="183" t="s">
        <v>609</v>
      </c>
      <c r="G97" s="161">
        <v>43</v>
      </c>
      <c r="H97" s="163" t="s">
        <v>616</v>
      </c>
      <c r="I97" s="161">
        <f>E97*G97</f>
        <v>6020000</v>
      </c>
      <c r="J97" s="158">
        <f>IF(ISTEXT(D97)=TRUE,(VLOOKUP(D97,'Stationary Reference'!$C$184:$G$236,5,FALSE)),0)</f>
        <v>64596</v>
      </c>
      <c r="K97" s="164">
        <f>I97/1000000*J97/1000</f>
        <v>388.86791999999997</v>
      </c>
      <c r="L97" s="150">
        <v>2010</v>
      </c>
      <c r="M97" s="160" t="s">
        <v>613</v>
      </c>
      <c r="N97" s="160"/>
      <c r="O97" s="150"/>
      <c r="P97" s="160"/>
      <c r="Q97" s="160"/>
      <c r="R97" s="182"/>
      <c r="W97" s="182"/>
      <c r="X97" s="182"/>
    </row>
    <row r="98" spans="2:24">
      <c r="C98" s="13">
        <v>3</v>
      </c>
      <c r="D98" s="136"/>
      <c r="E98" s="160"/>
      <c r="F98" s="183"/>
      <c r="G98" s="185"/>
      <c r="H98" s="185"/>
      <c r="I98" s="185"/>
      <c r="J98" s="158">
        <f>IF(ISTEXT(D98)=TRUE,(VLOOKUP(D98,'Stationary Reference'!$C$184:$G$236,5,FALSE)),0)</f>
        <v>0</v>
      </c>
      <c r="K98" s="184"/>
      <c r="L98" s="150"/>
      <c r="M98" s="160"/>
      <c r="N98" s="160"/>
      <c r="O98" s="150"/>
      <c r="P98" s="160"/>
      <c r="Q98" s="160"/>
      <c r="R98" s="182"/>
      <c r="W98" s="182"/>
      <c r="X98" s="182"/>
    </row>
    <row r="99" spans="2:24">
      <c r="C99" s="13">
        <v>4</v>
      </c>
      <c r="D99" s="136"/>
      <c r="E99" s="160"/>
      <c r="F99" s="183"/>
      <c r="G99" s="185"/>
      <c r="H99" s="185"/>
      <c r="I99" s="185"/>
      <c r="J99" s="158">
        <f>IF(ISTEXT(I99)=TRUE,(VLOOKUP(I99,'Stationary Reference'!$B$184:$G$236,5,FALSE)),0)</f>
        <v>0</v>
      </c>
      <c r="K99" s="184"/>
      <c r="L99" s="150"/>
      <c r="M99" s="160"/>
      <c r="N99" s="160"/>
      <c r="O99" s="150"/>
      <c r="P99" s="160"/>
      <c r="Q99" s="160"/>
    </row>
    <row r="100" spans="2:24">
      <c r="C100" s="13">
        <v>5</v>
      </c>
      <c r="D100" s="136"/>
      <c r="E100" s="160"/>
      <c r="F100" s="183"/>
      <c r="G100" s="185"/>
      <c r="H100" s="185"/>
      <c r="I100" s="185"/>
      <c r="J100" s="158">
        <f>IF(ISTEXT(I100)=TRUE,(VLOOKUP(I100,'Stationary Reference'!$B$184:$G$236,5,FALSE)),0)</f>
        <v>0</v>
      </c>
      <c r="K100" s="184"/>
      <c r="L100" s="150"/>
      <c r="M100" s="160"/>
      <c r="N100" s="160"/>
      <c r="O100" s="150"/>
      <c r="P100" s="160"/>
      <c r="Q100" s="160"/>
    </row>
    <row r="101" spans="2:24">
      <c r="C101" s="13">
        <v>6</v>
      </c>
      <c r="D101" s="136"/>
      <c r="E101" s="160"/>
      <c r="F101" s="183"/>
      <c r="G101" s="185"/>
      <c r="H101" s="185"/>
      <c r="I101" s="185"/>
      <c r="J101" s="158">
        <f>IF(ISTEXT(I101)=TRUE,(VLOOKUP(I101,'Stationary Reference'!$B$184:$G$236,5,FALSE)),0)</f>
        <v>0</v>
      </c>
      <c r="K101" s="184"/>
      <c r="L101" s="150"/>
      <c r="M101" s="160"/>
      <c r="N101" s="160"/>
      <c r="O101" s="150"/>
      <c r="P101" s="160"/>
      <c r="Q101" s="160"/>
    </row>
    <row r="102" spans="2:24">
      <c r="C102" s="13">
        <v>7</v>
      </c>
      <c r="D102" s="136"/>
      <c r="E102" s="160"/>
      <c r="F102" s="160"/>
      <c r="G102" s="137"/>
      <c r="H102" s="137"/>
      <c r="I102" s="137"/>
      <c r="J102" s="158">
        <f>IF(ISTEXT(I102)=TRUE,(VLOOKUP(I102,'Stationary Reference'!$B$184:$G$236,5,FALSE)),0)</f>
        <v>0</v>
      </c>
      <c r="K102" s="184"/>
      <c r="L102" s="150"/>
      <c r="M102" s="160"/>
      <c r="N102" s="160"/>
      <c r="O102" s="150"/>
      <c r="P102" s="160"/>
      <c r="Q102" s="160"/>
      <c r="T102" s="47"/>
    </row>
    <row r="103" spans="2:24">
      <c r="C103" s="13">
        <v>8</v>
      </c>
      <c r="D103" s="136"/>
      <c r="E103" s="160"/>
      <c r="F103" s="160"/>
      <c r="G103" s="137"/>
      <c r="H103" s="137"/>
      <c r="I103" s="137"/>
      <c r="J103" s="158">
        <f>IF(ISTEXT(I103)=TRUE,(VLOOKUP(I103,'Stationary Reference'!$B$184:$G$236,5,FALSE)),0)</f>
        <v>0</v>
      </c>
      <c r="K103" s="184"/>
      <c r="L103" s="150"/>
      <c r="M103" s="160"/>
      <c r="N103" s="160"/>
      <c r="O103" s="150"/>
      <c r="P103" s="160"/>
      <c r="Q103" s="160"/>
    </row>
    <row r="104" spans="2:24" ht="15" thickBot="1">
      <c r="C104" s="13">
        <v>9</v>
      </c>
      <c r="D104" s="165"/>
      <c r="E104" s="166"/>
      <c r="F104" s="166"/>
      <c r="G104" s="167"/>
      <c r="H104" s="167"/>
      <c r="I104" s="168"/>
      <c r="J104" s="169">
        <f>IF(ISTEXT(I104)=TRUE,(VLOOKUP(I104,'Stationary Reference'!$B$184:$G$236,5,FALSE)),0)</f>
        <v>0</v>
      </c>
      <c r="K104" s="186"/>
      <c r="L104" s="171"/>
      <c r="M104" s="166"/>
      <c r="N104" s="166"/>
      <c r="O104" s="171"/>
      <c r="P104" s="166"/>
      <c r="Q104" s="166"/>
    </row>
    <row r="105" spans="2:24" ht="15" thickBot="1">
      <c r="H105" s="172" t="s">
        <v>818</v>
      </c>
      <c r="I105" s="173">
        <f>SUM(I95:I104)</f>
        <v>5538725000</v>
      </c>
      <c r="J105" s="13" t="s">
        <v>588</v>
      </c>
      <c r="K105" s="174">
        <f>SUM(K95:K104)</f>
        <v>350255.0013</v>
      </c>
      <c r="L105" s="13" t="s">
        <v>821</v>
      </c>
    </row>
    <row r="106" spans="2:24" ht="18">
      <c r="B106" s="139"/>
      <c r="C106" s="175"/>
      <c r="K106" s="172" t="s">
        <v>844</v>
      </c>
    </row>
    <row r="107" spans="2:24" s="35" customFormat="1"/>
    <row r="108" spans="2:24" ht="18">
      <c r="C108" s="188" t="s">
        <v>246</v>
      </c>
    </row>
    <row r="110" spans="2:24" ht="15">
      <c r="C110" s="189" t="s">
        <v>197</v>
      </c>
      <c r="E110" s="189" t="s">
        <v>215</v>
      </c>
      <c r="F110" s="190" t="s">
        <v>4</v>
      </c>
      <c r="G110" s="190" t="s">
        <v>2</v>
      </c>
      <c r="H110" s="190" t="s">
        <v>200</v>
      </c>
    </row>
    <row r="111" spans="2:24">
      <c r="C111" s="31" t="s">
        <v>507</v>
      </c>
      <c r="E111" s="13" t="s">
        <v>216</v>
      </c>
      <c r="F111" s="191">
        <v>1960</v>
      </c>
      <c r="G111" s="192">
        <v>0</v>
      </c>
      <c r="H111" s="13" t="s">
        <v>183</v>
      </c>
    </row>
    <row r="112" spans="2:24">
      <c r="C112" s="31" t="s">
        <v>508</v>
      </c>
      <c r="E112" s="13" t="s">
        <v>217</v>
      </c>
      <c r="F112" s="191">
        <v>1961</v>
      </c>
      <c r="G112" s="192">
        <v>0.05</v>
      </c>
      <c r="H112" s="13" t="s">
        <v>184</v>
      </c>
    </row>
    <row r="113" spans="3:8">
      <c r="C113" s="31" t="s">
        <v>509</v>
      </c>
      <c r="E113" s="13" t="s">
        <v>218</v>
      </c>
      <c r="F113" s="191">
        <v>1962</v>
      </c>
      <c r="G113" s="192">
        <v>0.1</v>
      </c>
      <c r="H113" s="13" t="s">
        <v>185</v>
      </c>
    </row>
    <row r="114" spans="3:8">
      <c r="C114" s="31" t="s">
        <v>510</v>
      </c>
      <c r="E114" s="13" t="s">
        <v>3</v>
      </c>
      <c r="F114" s="191">
        <v>1963</v>
      </c>
      <c r="G114" s="192">
        <v>0.15</v>
      </c>
      <c r="H114" s="13" t="s">
        <v>186</v>
      </c>
    </row>
    <row r="115" spans="3:8">
      <c r="C115" s="31" t="s">
        <v>511</v>
      </c>
      <c r="F115" s="191">
        <v>1964</v>
      </c>
      <c r="G115" s="192">
        <v>0.2</v>
      </c>
      <c r="H115" s="13" t="s">
        <v>187</v>
      </c>
    </row>
    <row r="116" spans="3:8">
      <c r="C116" s="31" t="s">
        <v>512</v>
      </c>
      <c r="F116" s="191">
        <v>1965</v>
      </c>
      <c r="G116" s="192">
        <v>0.25</v>
      </c>
      <c r="H116" s="13" t="s">
        <v>188</v>
      </c>
    </row>
    <row r="117" spans="3:8">
      <c r="C117" s="31" t="s">
        <v>513</v>
      </c>
      <c r="F117" s="191">
        <v>1966</v>
      </c>
      <c r="G117" s="192">
        <v>0.3</v>
      </c>
      <c r="H117" s="13" t="s">
        <v>189</v>
      </c>
    </row>
    <row r="118" spans="3:8">
      <c r="C118" s="31" t="s">
        <v>514</v>
      </c>
      <c r="F118" s="191">
        <v>1967</v>
      </c>
      <c r="G118" s="192">
        <v>0.35</v>
      </c>
      <c r="H118" s="13" t="s">
        <v>190</v>
      </c>
    </row>
    <row r="119" spans="3:8">
      <c r="C119" s="31" t="s">
        <v>515</v>
      </c>
      <c r="F119" s="191">
        <v>1968</v>
      </c>
      <c r="G119" s="192">
        <v>0.4</v>
      </c>
      <c r="H119" s="13" t="s">
        <v>191</v>
      </c>
    </row>
    <row r="120" spans="3:8">
      <c r="C120" s="31" t="s">
        <v>516</v>
      </c>
      <c r="F120" s="191">
        <v>1969</v>
      </c>
      <c r="G120" s="192">
        <v>0.45</v>
      </c>
      <c r="H120" s="13" t="s">
        <v>192</v>
      </c>
    </row>
    <row r="121" spans="3:8">
      <c r="C121" s="31" t="s">
        <v>517</v>
      </c>
      <c r="F121" s="191">
        <v>1970</v>
      </c>
      <c r="G121" s="192">
        <v>0.5</v>
      </c>
      <c r="H121" s="13" t="s">
        <v>40</v>
      </c>
    </row>
    <row r="122" spans="3:8">
      <c r="C122" s="31" t="s">
        <v>518</v>
      </c>
      <c r="F122" s="191">
        <v>1971</v>
      </c>
      <c r="G122" s="192">
        <v>0.55000000000000004</v>
      </c>
      <c r="H122" s="13" t="s">
        <v>41</v>
      </c>
    </row>
    <row r="123" spans="3:8">
      <c r="C123" s="31" t="s">
        <v>519</v>
      </c>
      <c r="F123" s="191">
        <v>1972</v>
      </c>
      <c r="G123" s="192">
        <v>0.6</v>
      </c>
      <c r="H123" s="13" t="s">
        <v>42</v>
      </c>
    </row>
    <row r="124" spans="3:8">
      <c r="C124" s="31" t="s">
        <v>520</v>
      </c>
      <c r="F124" s="191">
        <v>1973</v>
      </c>
      <c r="G124" s="192">
        <v>0.65</v>
      </c>
      <c r="H124" s="13" t="s">
        <v>43</v>
      </c>
    </row>
    <row r="125" spans="3:8">
      <c r="C125" s="31" t="s">
        <v>521</v>
      </c>
      <c r="F125" s="191">
        <v>1974</v>
      </c>
      <c r="G125" s="192">
        <v>0.7</v>
      </c>
      <c r="H125" s="13" t="s">
        <v>44</v>
      </c>
    </row>
    <row r="126" spans="3:8">
      <c r="C126" s="31" t="s">
        <v>522</v>
      </c>
      <c r="F126" s="191">
        <v>1975</v>
      </c>
      <c r="G126" s="192">
        <v>0.75</v>
      </c>
      <c r="H126" s="13" t="s">
        <v>45</v>
      </c>
    </row>
    <row r="127" spans="3:8">
      <c r="C127" s="193" t="s">
        <v>523</v>
      </c>
      <c r="F127" s="191">
        <v>1976</v>
      </c>
      <c r="G127" s="192">
        <v>0.8</v>
      </c>
      <c r="H127" s="13" t="s">
        <v>46</v>
      </c>
    </row>
    <row r="128" spans="3:8">
      <c r="C128" s="31" t="s">
        <v>524</v>
      </c>
      <c r="F128" s="191">
        <v>1977</v>
      </c>
      <c r="G128" s="192">
        <v>0.85</v>
      </c>
      <c r="H128" s="13" t="s">
        <v>47</v>
      </c>
    </row>
    <row r="129" spans="3:8">
      <c r="C129" s="31" t="s">
        <v>525</v>
      </c>
      <c r="F129" s="191">
        <v>1978</v>
      </c>
      <c r="G129" s="192">
        <v>0.9</v>
      </c>
      <c r="H129" s="13" t="s">
        <v>48</v>
      </c>
    </row>
    <row r="130" spans="3:8">
      <c r="C130" s="31" t="s">
        <v>526</v>
      </c>
      <c r="F130" s="191">
        <v>1979</v>
      </c>
      <c r="G130" s="192">
        <v>0.95</v>
      </c>
      <c r="H130" s="13" t="s">
        <v>49</v>
      </c>
    </row>
    <row r="131" spans="3:8">
      <c r="C131" s="31" t="s">
        <v>527</v>
      </c>
      <c r="F131" s="191">
        <v>1980</v>
      </c>
      <c r="G131" s="192">
        <v>1</v>
      </c>
      <c r="H131" s="13" t="s">
        <v>50</v>
      </c>
    </row>
    <row r="132" spans="3:8">
      <c r="C132" s="193" t="s">
        <v>528</v>
      </c>
      <c r="F132" s="191">
        <v>1981</v>
      </c>
      <c r="H132" s="13" t="s">
        <v>51</v>
      </c>
    </row>
    <row r="133" spans="3:8">
      <c r="C133" s="194" t="s">
        <v>529</v>
      </c>
      <c r="F133" s="191">
        <v>1982</v>
      </c>
      <c r="H133" s="13" t="s">
        <v>52</v>
      </c>
    </row>
    <row r="134" spans="3:8">
      <c r="C134" s="31" t="s">
        <v>530</v>
      </c>
      <c r="F134" s="191">
        <v>1983</v>
      </c>
      <c r="H134" s="13" t="s">
        <v>53</v>
      </c>
    </row>
    <row r="135" spans="3:8">
      <c r="C135" s="31" t="s">
        <v>531</v>
      </c>
      <c r="F135" s="191">
        <v>1984</v>
      </c>
      <c r="H135" s="13" t="s">
        <v>54</v>
      </c>
    </row>
    <row r="136" spans="3:8">
      <c r="C136" s="31" t="s">
        <v>532</v>
      </c>
      <c r="F136" s="191">
        <v>1985</v>
      </c>
      <c r="H136" s="13" t="s">
        <v>55</v>
      </c>
    </row>
    <row r="137" spans="3:8">
      <c r="C137" s="31" t="s">
        <v>533</v>
      </c>
      <c r="F137" s="191">
        <v>1986</v>
      </c>
      <c r="H137" s="13" t="s">
        <v>56</v>
      </c>
    </row>
    <row r="138" spans="3:8">
      <c r="C138" s="31" t="s">
        <v>534</v>
      </c>
      <c r="F138" s="191">
        <v>1987</v>
      </c>
      <c r="H138" s="13" t="s">
        <v>57</v>
      </c>
    </row>
    <row r="139" spans="3:8">
      <c r="C139" s="31" t="s">
        <v>535</v>
      </c>
      <c r="F139" s="191">
        <v>1988</v>
      </c>
      <c r="H139" s="13" t="s">
        <v>58</v>
      </c>
    </row>
    <row r="140" spans="3:8">
      <c r="C140" s="31" t="s">
        <v>536</v>
      </c>
      <c r="F140" s="191">
        <v>1989</v>
      </c>
      <c r="H140" s="13" t="s">
        <v>59</v>
      </c>
    </row>
    <row r="141" spans="3:8">
      <c r="C141" s="31" t="s">
        <v>537</v>
      </c>
      <c r="F141" s="191">
        <v>1990</v>
      </c>
      <c r="H141" s="13" t="s">
        <v>60</v>
      </c>
    </row>
    <row r="142" spans="3:8">
      <c r="C142" s="31" t="s">
        <v>557</v>
      </c>
      <c r="F142" s="191">
        <v>1991</v>
      </c>
      <c r="H142" s="13" t="s">
        <v>61</v>
      </c>
    </row>
    <row r="143" spans="3:8">
      <c r="C143" s="31" t="s">
        <v>538</v>
      </c>
      <c r="F143" s="191">
        <v>1992</v>
      </c>
      <c r="H143" s="13" t="s">
        <v>62</v>
      </c>
    </row>
    <row r="144" spans="3:8">
      <c r="C144" s="31" t="s">
        <v>539</v>
      </c>
      <c r="F144" s="191">
        <v>1993</v>
      </c>
      <c r="H144" s="13" t="s">
        <v>135</v>
      </c>
    </row>
    <row r="145" spans="3:8">
      <c r="C145" s="31" t="s">
        <v>540</v>
      </c>
      <c r="F145" s="191">
        <v>1994</v>
      </c>
      <c r="H145" s="13" t="s">
        <v>63</v>
      </c>
    </row>
    <row r="146" spans="3:8">
      <c r="C146" s="31" t="s">
        <v>541</v>
      </c>
      <c r="F146" s="191">
        <v>1995</v>
      </c>
      <c r="H146" s="13" t="s">
        <v>64</v>
      </c>
    </row>
    <row r="147" spans="3:8">
      <c r="C147" s="31" t="s">
        <v>542</v>
      </c>
      <c r="F147" s="191">
        <v>1996</v>
      </c>
      <c r="H147" s="13" t="s">
        <v>65</v>
      </c>
    </row>
    <row r="148" spans="3:8">
      <c r="C148" s="31" t="s">
        <v>509</v>
      </c>
      <c r="F148" s="191">
        <v>1997</v>
      </c>
      <c r="H148" s="13" t="s">
        <v>73</v>
      </c>
    </row>
    <row r="149" spans="3:8">
      <c r="C149" s="31" t="s">
        <v>543</v>
      </c>
      <c r="F149" s="191">
        <v>1998</v>
      </c>
      <c r="H149" s="13" t="s">
        <v>66</v>
      </c>
    </row>
    <row r="150" spans="3:8">
      <c r="C150" s="31" t="s">
        <v>544</v>
      </c>
      <c r="F150" s="191">
        <v>1999</v>
      </c>
      <c r="H150" s="13" t="s">
        <v>67</v>
      </c>
    </row>
    <row r="151" spans="3:8">
      <c r="C151" s="31" t="s">
        <v>545</v>
      </c>
      <c r="F151" s="191">
        <v>2000</v>
      </c>
      <c r="H151" s="13" t="s">
        <v>68</v>
      </c>
    </row>
    <row r="152" spans="3:8">
      <c r="C152" s="31" t="s">
        <v>546</v>
      </c>
      <c r="F152" s="191">
        <v>2001</v>
      </c>
      <c r="H152" s="13" t="s">
        <v>69</v>
      </c>
    </row>
    <row r="153" spans="3:8">
      <c r="C153" s="193" t="s">
        <v>276</v>
      </c>
      <c r="F153" s="191">
        <v>2002</v>
      </c>
      <c r="H153" s="13" t="s">
        <v>70</v>
      </c>
    </row>
    <row r="154" spans="3:8">
      <c r="C154" s="195" t="s">
        <v>547</v>
      </c>
      <c r="F154" s="191">
        <v>2003</v>
      </c>
      <c r="H154" s="13" t="s">
        <v>71</v>
      </c>
    </row>
    <row r="155" spans="3:8">
      <c r="C155" s="31" t="s">
        <v>548</v>
      </c>
      <c r="F155" s="191">
        <v>2004</v>
      </c>
      <c r="H155" s="13" t="s">
        <v>74</v>
      </c>
    </row>
    <row r="156" spans="3:8">
      <c r="C156" s="31" t="s">
        <v>549</v>
      </c>
      <c r="F156" s="191">
        <v>2005</v>
      </c>
      <c r="H156" s="13" t="s">
        <v>75</v>
      </c>
    </row>
    <row r="157" spans="3:8">
      <c r="C157" s="31" t="s">
        <v>550</v>
      </c>
      <c r="F157" s="191">
        <v>2006</v>
      </c>
      <c r="H157" s="13" t="s">
        <v>76</v>
      </c>
    </row>
    <row r="158" spans="3:8">
      <c r="C158" s="31" t="s">
        <v>551</v>
      </c>
      <c r="F158" s="191">
        <v>2007</v>
      </c>
      <c r="H158" s="13" t="s">
        <v>9</v>
      </c>
    </row>
    <row r="159" spans="3:8">
      <c r="C159" s="31" t="s">
        <v>552</v>
      </c>
      <c r="F159" s="191">
        <v>2008</v>
      </c>
      <c r="H159" s="13" t="s">
        <v>77</v>
      </c>
    </row>
    <row r="160" spans="3:8">
      <c r="C160" s="31" t="s">
        <v>553</v>
      </c>
      <c r="F160" s="191">
        <v>2009</v>
      </c>
      <c r="H160" s="13" t="s">
        <v>78</v>
      </c>
    </row>
    <row r="161" spans="3:8">
      <c r="C161" s="31" t="s">
        <v>554</v>
      </c>
      <c r="F161" s="191">
        <v>2010</v>
      </c>
      <c r="H161" s="13" t="s">
        <v>79</v>
      </c>
    </row>
    <row r="162" spans="3:8">
      <c r="C162" s="31" t="s">
        <v>555</v>
      </c>
      <c r="F162" s="191">
        <v>2011</v>
      </c>
      <c r="H162" s="13" t="s">
        <v>80</v>
      </c>
    </row>
    <row r="163" spans="3:8">
      <c r="C163" s="31" t="s">
        <v>556</v>
      </c>
      <c r="F163" s="191">
        <v>2012</v>
      </c>
      <c r="H163" s="13" t="s">
        <v>81</v>
      </c>
    </row>
    <row r="164" spans="3:8">
      <c r="C164" s="31"/>
      <c r="F164" s="191">
        <v>2013</v>
      </c>
      <c r="H164" s="13" t="s">
        <v>83</v>
      </c>
    </row>
    <row r="165" spans="3:8">
      <c r="F165" s="191">
        <v>2014</v>
      </c>
      <c r="H165" s="13" t="s">
        <v>84</v>
      </c>
    </row>
    <row r="166" spans="3:8">
      <c r="F166" s="191">
        <v>2015</v>
      </c>
      <c r="H166" s="13" t="s">
        <v>85</v>
      </c>
    </row>
    <row r="167" spans="3:8">
      <c r="H167" s="13" t="s">
        <v>86</v>
      </c>
    </row>
    <row r="168" spans="3:8">
      <c r="H168" s="13" t="s">
        <v>87</v>
      </c>
    </row>
    <row r="169" spans="3:8">
      <c r="H169" s="13" t="s">
        <v>88</v>
      </c>
    </row>
    <row r="170" spans="3:8">
      <c r="H170" s="13" t="s">
        <v>89</v>
      </c>
    </row>
    <row r="171" spans="3:8">
      <c r="H171" s="13" t="s">
        <v>90</v>
      </c>
    </row>
    <row r="172" spans="3:8">
      <c r="H172" s="13" t="s">
        <v>91</v>
      </c>
    </row>
    <row r="173" spans="3:8">
      <c r="H173" s="13" t="s">
        <v>92</v>
      </c>
    </row>
    <row r="174" spans="3:8">
      <c r="H174" s="13" t="s">
        <v>93</v>
      </c>
    </row>
    <row r="175" spans="3:8">
      <c r="H175" s="13" t="s">
        <v>94</v>
      </c>
    </row>
    <row r="176" spans="3:8">
      <c r="H176" s="13" t="s">
        <v>95</v>
      </c>
    </row>
    <row r="177" spans="8:8">
      <c r="H177" s="13" t="s">
        <v>96</v>
      </c>
    </row>
    <row r="178" spans="8:8">
      <c r="H178" s="13" t="s">
        <v>97</v>
      </c>
    </row>
    <row r="179" spans="8:8">
      <c r="H179" s="13" t="s">
        <v>100</v>
      </c>
    </row>
    <row r="180" spans="8:8">
      <c r="H180" s="13" t="s">
        <v>98</v>
      </c>
    </row>
    <row r="181" spans="8:8">
      <c r="H181" s="13" t="s">
        <v>99</v>
      </c>
    </row>
    <row r="182" spans="8:8">
      <c r="H182" s="13" t="s">
        <v>101</v>
      </c>
    </row>
    <row r="183" spans="8:8">
      <c r="H183" s="13" t="s">
        <v>102</v>
      </c>
    </row>
    <row r="184" spans="8:8">
      <c r="H184" s="13" t="s">
        <v>103</v>
      </c>
    </row>
    <row r="185" spans="8:8">
      <c r="H185" s="13" t="s">
        <v>104</v>
      </c>
    </row>
    <row r="186" spans="8:8">
      <c r="H186" s="13" t="s">
        <v>105</v>
      </c>
    </row>
    <row r="187" spans="8:8">
      <c r="H187" s="13" t="s">
        <v>106</v>
      </c>
    </row>
    <row r="188" spans="8:8">
      <c r="H188" s="13" t="s">
        <v>107</v>
      </c>
    </row>
    <row r="189" spans="8:8">
      <c r="H189" s="13" t="s">
        <v>193</v>
      </c>
    </row>
    <row r="190" spans="8:8">
      <c r="H190" s="13" t="s">
        <v>108</v>
      </c>
    </row>
    <row r="191" spans="8:8">
      <c r="H191" s="13" t="s">
        <v>109</v>
      </c>
    </row>
    <row r="192" spans="8:8">
      <c r="H192" s="13" t="s">
        <v>110</v>
      </c>
    </row>
    <row r="193" spans="8:8">
      <c r="H193" s="13" t="s">
        <v>111</v>
      </c>
    </row>
    <row r="194" spans="8:8">
      <c r="H194" s="13" t="s">
        <v>112</v>
      </c>
    </row>
    <row r="195" spans="8:8">
      <c r="H195" s="13" t="s">
        <v>113</v>
      </c>
    </row>
    <row r="196" spans="8:8">
      <c r="H196" s="13" t="s">
        <v>114</v>
      </c>
    </row>
    <row r="197" spans="8:8">
      <c r="H197" s="13" t="s">
        <v>115</v>
      </c>
    </row>
    <row r="198" spans="8:8">
      <c r="H198" s="13" t="s">
        <v>194</v>
      </c>
    </row>
    <row r="199" spans="8:8">
      <c r="H199" s="13" t="s">
        <v>116</v>
      </c>
    </row>
    <row r="200" spans="8:8">
      <c r="H200" s="13" t="s">
        <v>117</v>
      </c>
    </row>
    <row r="201" spans="8:8">
      <c r="H201" s="13" t="s">
        <v>118</v>
      </c>
    </row>
    <row r="202" spans="8:8">
      <c r="H202" s="13" t="s">
        <v>141</v>
      </c>
    </row>
    <row r="203" spans="8:8">
      <c r="H203" s="13" t="s">
        <v>119</v>
      </c>
    </row>
    <row r="204" spans="8:8">
      <c r="H204" s="13" t="s">
        <v>120</v>
      </c>
    </row>
    <row r="205" spans="8:8">
      <c r="H205" s="13" t="s">
        <v>121</v>
      </c>
    </row>
    <row r="206" spans="8:8">
      <c r="H206" s="13" t="s">
        <v>122</v>
      </c>
    </row>
    <row r="207" spans="8:8">
      <c r="H207" s="13" t="s">
        <v>123</v>
      </c>
    </row>
    <row r="208" spans="8:8">
      <c r="H208" s="13" t="s">
        <v>124</v>
      </c>
    </row>
    <row r="209" spans="8:8">
      <c r="H209" s="13" t="s">
        <v>125</v>
      </c>
    </row>
    <row r="210" spans="8:8">
      <c r="H210" s="13" t="s">
        <v>126</v>
      </c>
    </row>
    <row r="211" spans="8:8">
      <c r="H211" s="13" t="s">
        <v>127</v>
      </c>
    </row>
    <row r="212" spans="8:8">
      <c r="H212" s="13" t="s">
        <v>128</v>
      </c>
    </row>
    <row r="213" spans="8:8">
      <c r="H213" s="13" t="s">
        <v>129</v>
      </c>
    </row>
    <row r="214" spans="8:8">
      <c r="H214" s="13" t="s">
        <v>130</v>
      </c>
    </row>
    <row r="215" spans="8:8">
      <c r="H215" s="13" t="s">
        <v>131</v>
      </c>
    </row>
    <row r="216" spans="8:8">
      <c r="H216" s="13" t="s">
        <v>132</v>
      </c>
    </row>
    <row r="217" spans="8:8">
      <c r="H217" s="13" t="s">
        <v>133</v>
      </c>
    </row>
    <row r="218" spans="8:8">
      <c r="H218" s="13" t="s">
        <v>134</v>
      </c>
    </row>
    <row r="219" spans="8:8">
      <c r="H219" s="13" t="s">
        <v>136</v>
      </c>
    </row>
    <row r="220" spans="8:8">
      <c r="H220" s="13" t="s">
        <v>137</v>
      </c>
    </row>
    <row r="221" spans="8:8">
      <c r="H221" s="13" t="s">
        <v>138</v>
      </c>
    </row>
    <row r="222" spans="8:8">
      <c r="H222" s="13" t="s">
        <v>139</v>
      </c>
    </row>
    <row r="223" spans="8:8">
      <c r="H223" s="13" t="s">
        <v>140</v>
      </c>
    </row>
    <row r="224" spans="8:8">
      <c r="H224" s="13" t="s">
        <v>142</v>
      </c>
    </row>
    <row r="225" spans="8:8">
      <c r="H225" s="13" t="s">
        <v>143</v>
      </c>
    </row>
    <row r="226" spans="8:8">
      <c r="H226" s="13" t="s">
        <v>144</v>
      </c>
    </row>
    <row r="227" spans="8:8">
      <c r="H227" s="13" t="s">
        <v>145</v>
      </c>
    </row>
    <row r="228" spans="8:8">
      <c r="H228" s="13" t="s">
        <v>146</v>
      </c>
    </row>
    <row r="229" spans="8:8">
      <c r="H229" s="13" t="s">
        <v>147</v>
      </c>
    </row>
    <row r="230" spans="8:8">
      <c r="H230" s="13" t="s">
        <v>148</v>
      </c>
    </row>
    <row r="231" spans="8:8">
      <c r="H231" s="13" t="s">
        <v>195</v>
      </c>
    </row>
    <row r="232" spans="8:8">
      <c r="H232" s="13" t="s">
        <v>150</v>
      </c>
    </row>
    <row r="233" spans="8:8">
      <c r="H233" s="13" t="s">
        <v>151</v>
      </c>
    </row>
    <row r="234" spans="8:8">
      <c r="H234" s="13" t="s">
        <v>152</v>
      </c>
    </row>
    <row r="235" spans="8:8">
      <c r="H235" s="13" t="s">
        <v>153</v>
      </c>
    </row>
    <row r="236" spans="8:8">
      <c r="H236" s="13" t="s">
        <v>154</v>
      </c>
    </row>
    <row r="237" spans="8:8">
      <c r="H237" s="13" t="s">
        <v>155</v>
      </c>
    </row>
    <row r="238" spans="8:8">
      <c r="H238" s="13" t="s">
        <v>156</v>
      </c>
    </row>
    <row r="239" spans="8:8">
      <c r="H239" s="13" t="s">
        <v>157</v>
      </c>
    </row>
    <row r="240" spans="8:8">
      <c r="H240" s="13" t="s">
        <v>167</v>
      </c>
    </row>
    <row r="241" spans="8:8">
      <c r="H241" s="13" t="s">
        <v>158</v>
      </c>
    </row>
    <row r="242" spans="8:8">
      <c r="H242" s="13" t="s">
        <v>159</v>
      </c>
    </row>
    <row r="243" spans="8:8">
      <c r="H243" s="13" t="s">
        <v>160</v>
      </c>
    </row>
    <row r="244" spans="8:8">
      <c r="H244" s="13" t="s">
        <v>161</v>
      </c>
    </row>
    <row r="245" spans="8:8">
      <c r="H245" s="13" t="s">
        <v>162</v>
      </c>
    </row>
    <row r="246" spans="8:8">
      <c r="H246" s="13" t="s">
        <v>163</v>
      </c>
    </row>
    <row r="247" spans="8:8">
      <c r="H247" s="13" t="s">
        <v>164</v>
      </c>
    </row>
    <row r="248" spans="8:8">
      <c r="H248" s="13" t="s">
        <v>165</v>
      </c>
    </row>
    <row r="249" spans="8:8">
      <c r="H249" s="13" t="s">
        <v>166</v>
      </c>
    </row>
    <row r="250" spans="8:8">
      <c r="H250" s="13" t="s">
        <v>168</v>
      </c>
    </row>
    <row r="251" spans="8:8">
      <c r="H251" s="13" t="s">
        <v>169</v>
      </c>
    </row>
    <row r="252" spans="8:8">
      <c r="H252" s="13" t="s">
        <v>170</v>
      </c>
    </row>
    <row r="253" spans="8:8">
      <c r="H253" s="13" t="s">
        <v>171</v>
      </c>
    </row>
    <row r="254" spans="8:8">
      <c r="H254" s="13" t="s">
        <v>172</v>
      </c>
    </row>
    <row r="255" spans="8:8">
      <c r="H255" s="13" t="s">
        <v>173</v>
      </c>
    </row>
    <row r="256" spans="8:8">
      <c r="H256" s="13" t="s">
        <v>174</v>
      </c>
    </row>
    <row r="257" spans="8:8">
      <c r="H257" s="13" t="s">
        <v>175</v>
      </c>
    </row>
    <row r="258" spans="8:8">
      <c r="H258" s="13" t="s">
        <v>176</v>
      </c>
    </row>
    <row r="259" spans="8:8">
      <c r="H259" s="13" t="s">
        <v>178</v>
      </c>
    </row>
    <row r="260" spans="8:8">
      <c r="H260" s="13" t="s">
        <v>177</v>
      </c>
    </row>
  </sheetData>
  <dataValidations disablePrompts="1" count="4">
    <dataValidation type="list" allowBlank="1" showInputMessage="1" showErrorMessage="1" sqref="L95:L104 L47:L56 G19 G65 L70:L79 M27:M34 G39 G61 G90 G85:G86">
      <formula1>$F$111:$F$166</formula1>
    </dataValidation>
    <dataValidation type="list" allowBlank="1" showInputMessage="1" showErrorMessage="1" sqref="O95:O104 O47:O56 I19 I65 O70:O79 P27:P34 I39 I61 I90 I85:I86">
      <formula1>$E$111:$E$114</formula1>
    </dataValidation>
    <dataValidation type="list" allowBlank="1" showInputMessage="1" showErrorMessage="1" sqref="D70:D79 D47:D56 D27:D34 D95:D104">
      <formula1>$C$111:$C$163</formula1>
    </dataValidation>
    <dataValidation type="list" allowBlank="1" showInputMessage="1" showErrorMessage="1" sqref="D10">
      <formula1>$H$111:$H$260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BB573"/>
  <sheetViews>
    <sheetView zoomScale="85" zoomScaleNormal="85" workbookViewId="0">
      <selection activeCell="C2" sqref="C2"/>
    </sheetView>
  </sheetViews>
  <sheetFormatPr defaultRowHeight="14.25"/>
  <cols>
    <col min="1" max="1" width="3.28515625" style="13" customWidth="1"/>
    <col min="2" max="2" width="3.140625" style="13" customWidth="1"/>
    <col min="3" max="3" width="36.5703125" style="13" customWidth="1"/>
    <col min="4" max="4" width="14.42578125" style="13" customWidth="1"/>
    <col min="5" max="5" width="21.140625" style="197" customWidth="1"/>
    <col min="6" max="6" width="13.28515625" style="13" customWidth="1"/>
    <col min="7" max="7" width="14.42578125" style="13" customWidth="1"/>
    <col min="8" max="8" width="11.42578125" style="13" customWidth="1"/>
    <col min="9" max="9" width="21.42578125" style="13" customWidth="1"/>
    <col min="10" max="10" width="16.5703125" style="13" customWidth="1"/>
    <col min="11" max="16384" width="9.140625" style="13"/>
  </cols>
  <sheetData>
    <row r="2" spans="3:10" ht="23.25">
      <c r="C2" s="133" t="s">
        <v>574</v>
      </c>
      <c r="D2" s="35"/>
      <c r="E2" s="196"/>
    </row>
    <row r="3" spans="3:10" ht="15.75" customHeight="1">
      <c r="C3" s="134"/>
    </row>
    <row r="4" spans="3:10" s="31" customFormat="1" ht="18">
      <c r="C4" s="198" t="s">
        <v>505</v>
      </c>
      <c r="E4" s="199"/>
    </row>
    <row r="5" spans="3:10" s="31" customFormat="1" ht="12.75" customHeight="1">
      <c r="C5" s="40" t="s">
        <v>504</v>
      </c>
      <c r="E5" s="199"/>
    </row>
    <row r="6" spans="3:10" s="194" customFormat="1" ht="16.5" customHeight="1">
      <c r="C6" s="200" t="s">
        <v>13</v>
      </c>
      <c r="D6" s="201" t="s">
        <v>558</v>
      </c>
      <c r="E6" s="202" t="s">
        <v>559</v>
      </c>
      <c r="F6" s="201" t="s">
        <v>560</v>
      </c>
      <c r="G6" s="203" t="s">
        <v>561</v>
      </c>
    </row>
    <row r="7" spans="3:10" s="31" customFormat="1">
      <c r="C7" s="204" t="s">
        <v>506</v>
      </c>
      <c r="D7" s="205">
        <v>1</v>
      </c>
      <c r="E7" s="206">
        <v>21</v>
      </c>
      <c r="F7" s="205">
        <v>310</v>
      </c>
      <c r="G7" s="207"/>
    </row>
    <row r="8" spans="3:10" s="31" customFormat="1" ht="14.25" customHeight="1">
      <c r="C8" s="31" t="s">
        <v>507</v>
      </c>
      <c r="D8" s="199">
        <v>73300</v>
      </c>
      <c r="E8" s="208">
        <v>3</v>
      </c>
      <c r="F8" s="209">
        <v>0.6</v>
      </c>
      <c r="G8" s="210">
        <f>D8+E8*$E$7+F8*$F$7</f>
        <v>73549</v>
      </c>
    </row>
    <row r="9" spans="3:10" s="31" customFormat="1" ht="14.25" customHeight="1">
      <c r="C9" s="31" t="s">
        <v>508</v>
      </c>
      <c r="D9" s="199">
        <v>77000</v>
      </c>
      <c r="E9" s="208">
        <v>3</v>
      </c>
      <c r="F9" s="209">
        <v>0.6</v>
      </c>
      <c r="G9" s="210">
        <f t="shared" ref="G9:G60" si="0">D9+E9*$E$7+F9*$F$7</f>
        <v>77249</v>
      </c>
    </row>
    <row r="10" spans="3:10" s="31" customFormat="1" ht="14.25" customHeight="1">
      <c r="C10" s="31" t="s">
        <v>509</v>
      </c>
      <c r="D10" s="199">
        <v>64200</v>
      </c>
      <c r="E10" s="208">
        <v>3</v>
      </c>
      <c r="F10" s="209">
        <v>0.6</v>
      </c>
      <c r="G10" s="210">
        <f t="shared" si="0"/>
        <v>64449</v>
      </c>
      <c r="I10" s="211">
        <v>277777</v>
      </c>
      <c r="J10" s="31" t="s">
        <v>589</v>
      </c>
    </row>
    <row r="11" spans="3:10" s="31" customFormat="1" ht="14.25" customHeight="1">
      <c r="C11" s="31" t="s">
        <v>510</v>
      </c>
      <c r="D11" s="199">
        <v>69300</v>
      </c>
      <c r="E11" s="208">
        <v>3</v>
      </c>
      <c r="F11" s="209">
        <v>0.6</v>
      </c>
      <c r="G11" s="210">
        <f t="shared" si="0"/>
        <v>69549</v>
      </c>
    </row>
    <row r="12" spans="3:10" s="31" customFormat="1" ht="14.25" customHeight="1">
      <c r="C12" s="31" t="s">
        <v>511</v>
      </c>
      <c r="D12" s="199">
        <v>70000</v>
      </c>
      <c r="E12" s="208">
        <v>3</v>
      </c>
      <c r="F12" s="209">
        <v>0.6</v>
      </c>
      <c r="G12" s="210">
        <f t="shared" si="0"/>
        <v>70249</v>
      </c>
    </row>
    <row r="13" spans="3:10" s="31" customFormat="1" ht="14.25" customHeight="1">
      <c r="C13" s="31" t="s">
        <v>512</v>
      </c>
      <c r="D13" s="199">
        <v>70000</v>
      </c>
      <c r="E13" s="208">
        <v>3</v>
      </c>
      <c r="F13" s="209">
        <v>0.6</v>
      </c>
      <c r="G13" s="210">
        <f t="shared" si="0"/>
        <v>70249</v>
      </c>
    </row>
    <row r="14" spans="3:10" s="31" customFormat="1" ht="14.25" customHeight="1">
      <c r="C14" s="31" t="s">
        <v>513</v>
      </c>
      <c r="D14" s="199">
        <v>71500</v>
      </c>
      <c r="E14" s="208">
        <v>3</v>
      </c>
      <c r="F14" s="209">
        <v>0.6</v>
      </c>
      <c r="G14" s="210">
        <f t="shared" si="0"/>
        <v>71749</v>
      </c>
      <c r="J14" s="31" t="s">
        <v>588</v>
      </c>
    </row>
    <row r="15" spans="3:10" s="31" customFormat="1" ht="14.25" customHeight="1">
      <c r="C15" s="31" t="s">
        <v>514</v>
      </c>
      <c r="D15" s="199">
        <v>71900</v>
      </c>
      <c r="E15" s="208">
        <v>3</v>
      </c>
      <c r="F15" s="209">
        <v>0.6</v>
      </c>
      <c r="G15" s="210">
        <f t="shared" si="0"/>
        <v>72149</v>
      </c>
    </row>
    <row r="16" spans="3:10" s="31" customFormat="1" ht="14.25" customHeight="1">
      <c r="C16" s="31" t="s">
        <v>515</v>
      </c>
      <c r="D16" s="199">
        <v>73300</v>
      </c>
      <c r="E16" s="208">
        <v>3</v>
      </c>
      <c r="F16" s="209">
        <v>0.6</v>
      </c>
      <c r="G16" s="210">
        <f t="shared" si="0"/>
        <v>73549</v>
      </c>
    </row>
    <row r="17" spans="3:7" s="31" customFormat="1" ht="14.25" customHeight="1">
      <c r="C17" s="31" t="s">
        <v>516</v>
      </c>
      <c r="D17" s="199">
        <v>74100</v>
      </c>
      <c r="E17" s="208">
        <v>3</v>
      </c>
      <c r="F17" s="209">
        <v>0.6</v>
      </c>
      <c r="G17" s="210">
        <f t="shared" si="0"/>
        <v>74349</v>
      </c>
    </row>
    <row r="18" spans="3:7" s="31" customFormat="1" ht="14.25" customHeight="1">
      <c r="C18" s="31" t="s">
        <v>517</v>
      </c>
      <c r="D18" s="199">
        <v>77400</v>
      </c>
      <c r="E18" s="208">
        <v>3</v>
      </c>
      <c r="F18" s="209">
        <v>0.6</v>
      </c>
      <c r="G18" s="210">
        <f t="shared" si="0"/>
        <v>77649</v>
      </c>
    </row>
    <row r="19" spans="3:7" s="31" customFormat="1" ht="14.25" customHeight="1">
      <c r="C19" s="31" t="s">
        <v>518</v>
      </c>
      <c r="D19" s="199">
        <v>63100</v>
      </c>
      <c r="E19" s="208">
        <v>1</v>
      </c>
      <c r="F19" s="209">
        <v>0.1</v>
      </c>
      <c r="G19" s="210">
        <f t="shared" si="0"/>
        <v>63152</v>
      </c>
    </row>
    <row r="20" spans="3:7" s="31" customFormat="1" ht="14.25" customHeight="1">
      <c r="C20" s="31" t="s">
        <v>519</v>
      </c>
      <c r="D20" s="199">
        <v>61600</v>
      </c>
      <c r="E20" s="208">
        <v>1</v>
      </c>
      <c r="F20" s="209">
        <v>0.1</v>
      </c>
      <c r="G20" s="210">
        <f t="shared" si="0"/>
        <v>61652</v>
      </c>
    </row>
    <row r="21" spans="3:7" s="31" customFormat="1" ht="14.25" customHeight="1">
      <c r="C21" s="31" t="s">
        <v>520</v>
      </c>
      <c r="D21" s="199">
        <v>73300</v>
      </c>
      <c r="E21" s="208">
        <v>3</v>
      </c>
      <c r="F21" s="209">
        <v>0.6</v>
      </c>
      <c r="G21" s="210">
        <f t="shared" si="0"/>
        <v>73549</v>
      </c>
    </row>
    <row r="22" spans="3:7" s="31" customFormat="1" ht="14.25" customHeight="1">
      <c r="C22" s="31" t="s">
        <v>521</v>
      </c>
      <c r="D22" s="199">
        <v>80700</v>
      </c>
      <c r="E22" s="208">
        <v>3</v>
      </c>
      <c r="F22" s="209">
        <v>0.6</v>
      </c>
      <c r="G22" s="210">
        <f t="shared" si="0"/>
        <v>80949</v>
      </c>
    </row>
    <row r="23" spans="3:7" s="31" customFormat="1" ht="14.25" customHeight="1">
      <c r="C23" s="31" t="s">
        <v>522</v>
      </c>
      <c r="D23" s="199">
        <v>73300</v>
      </c>
      <c r="E23" s="208">
        <v>3</v>
      </c>
      <c r="F23" s="209">
        <v>0.6</v>
      </c>
      <c r="G23" s="210">
        <f t="shared" si="0"/>
        <v>73549</v>
      </c>
    </row>
    <row r="24" spans="3:7" s="31" customFormat="1" ht="14.25" customHeight="1">
      <c r="C24" s="193" t="s">
        <v>523</v>
      </c>
      <c r="D24" s="199">
        <v>97500</v>
      </c>
      <c r="E24" s="208">
        <v>3</v>
      </c>
      <c r="F24" s="209">
        <v>0.6</v>
      </c>
      <c r="G24" s="210">
        <f t="shared" si="0"/>
        <v>97749</v>
      </c>
    </row>
    <row r="25" spans="3:7" s="31" customFormat="1" ht="14.25" customHeight="1">
      <c r="C25" s="31" t="s">
        <v>524</v>
      </c>
      <c r="D25" s="199">
        <v>73300</v>
      </c>
      <c r="E25" s="208">
        <v>3</v>
      </c>
      <c r="F25" s="209">
        <v>0.6</v>
      </c>
      <c r="G25" s="210">
        <f t="shared" si="0"/>
        <v>73549</v>
      </c>
    </row>
    <row r="26" spans="3:7" s="31" customFormat="1" ht="14.25" customHeight="1">
      <c r="C26" s="31" t="s">
        <v>525</v>
      </c>
      <c r="D26" s="199">
        <v>57600</v>
      </c>
      <c r="E26" s="208">
        <v>1</v>
      </c>
      <c r="F26" s="209">
        <v>0.1</v>
      </c>
      <c r="G26" s="210">
        <f t="shared" si="0"/>
        <v>57652</v>
      </c>
    </row>
    <row r="27" spans="3:7" s="31" customFormat="1" ht="14.25" customHeight="1">
      <c r="C27" s="31" t="s">
        <v>526</v>
      </c>
      <c r="D27" s="199">
        <v>73300</v>
      </c>
      <c r="E27" s="208">
        <v>3</v>
      </c>
      <c r="F27" s="209">
        <v>0.6</v>
      </c>
      <c r="G27" s="210">
        <f t="shared" si="0"/>
        <v>73549</v>
      </c>
    </row>
    <row r="28" spans="3:7" s="31" customFormat="1" ht="14.25" customHeight="1">
      <c r="C28" s="31" t="s">
        <v>527</v>
      </c>
      <c r="D28" s="199">
        <v>73300</v>
      </c>
      <c r="E28" s="208">
        <v>3</v>
      </c>
      <c r="F28" s="209">
        <v>0.6</v>
      </c>
      <c r="G28" s="210">
        <f t="shared" si="0"/>
        <v>73549</v>
      </c>
    </row>
    <row r="29" spans="3:7" s="31" customFormat="1" ht="14.25" customHeight="1">
      <c r="C29" s="193" t="s">
        <v>528</v>
      </c>
      <c r="D29" s="199">
        <v>73300</v>
      </c>
      <c r="E29" s="208">
        <v>3</v>
      </c>
      <c r="F29" s="209">
        <v>0.6</v>
      </c>
      <c r="G29" s="210">
        <f t="shared" si="0"/>
        <v>73549</v>
      </c>
    </row>
    <row r="30" spans="3:7" s="194" customFormat="1" ht="14.25" customHeight="1">
      <c r="C30" s="194" t="s">
        <v>529</v>
      </c>
      <c r="D30" s="199">
        <v>98300</v>
      </c>
      <c r="E30" s="208">
        <v>1</v>
      </c>
      <c r="F30" s="209">
        <v>1.5</v>
      </c>
      <c r="G30" s="210">
        <f t="shared" si="0"/>
        <v>98786</v>
      </c>
    </row>
    <row r="31" spans="3:7" s="31" customFormat="1" ht="14.25" customHeight="1">
      <c r="C31" s="31" t="s">
        <v>530</v>
      </c>
      <c r="D31" s="199">
        <v>94600</v>
      </c>
      <c r="E31" s="208">
        <v>1</v>
      </c>
      <c r="F31" s="209">
        <v>1.5</v>
      </c>
      <c r="G31" s="210">
        <f t="shared" si="0"/>
        <v>95086</v>
      </c>
    </row>
    <row r="32" spans="3:7" s="31" customFormat="1" ht="14.25" customHeight="1">
      <c r="C32" s="31" t="s">
        <v>531</v>
      </c>
      <c r="D32" s="199">
        <v>94600</v>
      </c>
      <c r="E32" s="208">
        <v>1</v>
      </c>
      <c r="F32" s="209">
        <v>1.5</v>
      </c>
      <c r="G32" s="210">
        <f t="shared" si="0"/>
        <v>95086</v>
      </c>
    </row>
    <row r="33" spans="3:7" s="31" customFormat="1" ht="14.25" customHeight="1">
      <c r="C33" s="31" t="s">
        <v>532</v>
      </c>
      <c r="D33" s="199">
        <v>96100</v>
      </c>
      <c r="E33" s="208">
        <v>1</v>
      </c>
      <c r="F33" s="209">
        <v>1.5</v>
      </c>
      <c r="G33" s="210">
        <f t="shared" si="0"/>
        <v>96586</v>
      </c>
    </row>
    <row r="34" spans="3:7" s="31" customFormat="1" ht="14.25" customHeight="1">
      <c r="C34" s="31" t="s">
        <v>533</v>
      </c>
      <c r="D34" s="199">
        <v>101000</v>
      </c>
      <c r="E34" s="208">
        <v>1</v>
      </c>
      <c r="F34" s="209">
        <v>1.5</v>
      </c>
      <c r="G34" s="210">
        <f t="shared" si="0"/>
        <v>101486</v>
      </c>
    </row>
    <row r="35" spans="3:7" s="31" customFormat="1" ht="14.25" customHeight="1">
      <c r="C35" s="31" t="s">
        <v>534</v>
      </c>
      <c r="D35" s="199">
        <v>107000</v>
      </c>
      <c r="E35" s="208">
        <v>1</v>
      </c>
      <c r="F35" s="209">
        <v>1.5</v>
      </c>
      <c r="G35" s="210">
        <f t="shared" si="0"/>
        <v>107486</v>
      </c>
    </row>
    <row r="36" spans="3:7" s="31" customFormat="1" ht="14.25" customHeight="1">
      <c r="C36" s="31" t="s">
        <v>535</v>
      </c>
      <c r="D36" s="199">
        <v>97500</v>
      </c>
      <c r="E36" s="208">
        <v>1</v>
      </c>
      <c r="F36" s="209">
        <v>1.5</v>
      </c>
      <c r="G36" s="210">
        <f t="shared" si="0"/>
        <v>97986</v>
      </c>
    </row>
    <row r="37" spans="3:7" s="31" customFormat="1" ht="14.25" customHeight="1">
      <c r="C37" s="31" t="s">
        <v>536</v>
      </c>
      <c r="D37" s="199">
        <v>97500</v>
      </c>
      <c r="E37" s="208">
        <v>1</v>
      </c>
      <c r="F37" s="209">
        <v>1.5</v>
      </c>
      <c r="G37" s="210">
        <f t="shared" si="0"/>
        <v>97986</v>
      </c>
    </row>
    <row r="38" spans="3:7" s="31" customFormat="1" ht="14.25" customHeight="1">
      <c r="C38" s="31" t="s">
        <v>537</v>
      </c>
      <c r="D38" s="199">
        <v>107000</v>
      </c>
      <c r="E38" s="208">
        <v>1</v>
      </c>
      <c r="F38" s="209">
        <v>1.5</v>
      </c>
      <c r="G38" s="210">
        <f t="shared" si="0"/>
        <v>107486</v>
      </c>
    </row>
    <row r="39" spans="3:7" s="31" customFormat="1" ht="17.25" customHeight="1">
      <c r="C39" s="31" t="s">
        <v>557</v>
      </c>
      <c r="D39" s="199">
        <v>107000</v>
      </c>
      <c r="E39" s="208">
        <v>1</v>
      </c>
      <c r="F39" s="209">
        <v>0.1</v>
      </c>
      <c r="G39" s="210">
        <f t="shared" si="0"/>
        <v>107052</v>
      </c>
    </row>
    <row r="40" spans="3:7" s="31" customFormat="1" ht="14.25" customHeight="1">
      <c r="C40" s="31" t="s">
        <v>538</v>
      </c>
      <c r="D40" s="199">
        <v>80700</v>
      </c>
      <c r="E40" s="208">
        <v>1</v>
      </c>
      <c r="F40" s="209">
        <v>1.5</v>
      </c>
      <c r="G40" s="210">
        <f t="shared" si="0"/>
        <v>81186</v>
      </c>
    </row>
    <row r="41" spans="3:7" s="31" customFormat="1" ht="14.25" customHeight="1">
      <c r="C41" s="31" t="s">
        <v>539</v>
      </c>
      <c r="D41" s="199">
        <v>44400</v>
      </c>
      <c r="E41" s="208">
        <v>1</v>
      </c>
      <c r="F41" s="209">
        <v>0.1</v>
      </c>
      <c r="G41" s="210">
        <f t="shared" si="0"/>
        <v>44452</v>
      </c>
    </row>
    <row r="42" spans="3:7" s="31" customFormat="1" ht="14.25" customHeight="1">
      <c r="C42" s="31" t="s">
        <v>540</v>
      </c>
      <c r="D42" s="199">
        <v>44400</v>
      </c>
      <c r="E42" s="208">
        <v>1</v>
      </c>
      <c r="F42" s="209">
        <v>0.1</v>
      </c>
      <c r="G42" s="210">
        <f t="shared" si="0"/>
        <v>44452</v>
      </c>
    </row>
    <row r="43" spans="3:7" s="31" customFormat="1" ht="14.25" customHeight="1">
      <c r="C43" s="31" t="s">
        <v>541</v>
      </c>
      <c r="D43" s="199">
        <v>260000</v>
      </c>
      <c r="E43" s="208">
        <v>1</v>
      </c>
      <c r="F43" s="209">
        <v>0.1</v>
      </c>
      <c r="G43" s="210">
        <f t="shared" si="0"/>
        <v>260052</v>
      </c>
    </row>
    <row r="44" spans="3:7" s="31" customFormat="1" ht="14.25" customHeight="1">
      <c r="C44" s="31" t="s">
        <v>542</v>
      </c>
      <c r="D44" s="199">
        <v>182000</v>
      </c>
      <c r="E44" s="208">
        <v>1</v>
      </c>
      <c r="F44" s="209">
        <v>0.1</v>
      </c>
      <c r="G44" s="210">
        <f t="shared" si="0"/>
        <v>182052</v>
      </c>
    </row>
    <row r="45" spans="3:7" s="31" customFormat="1" ht="14.25" customHeight="1">
      <c r="C45" s="31" t="s">
        <v>509</v>
      </c>
      <c r="D45" s="199">
        <v>56100</v>
      </c>
      <c r="E45" s="208">
        <v>1</v>
      </c>
      <c r="F45" s="209">
        <v>0.1</v>
      </c>
      <c r="G45" s="210">
        <f t="shared" si="0"/>
        <v>56152</v>
      </c>
    </row>
    <row r="46" spans="3:7" s="31" customFormat="1" ht="14.25" customHeight="1">
      <c r="C46" s="31" t="s">
        <v>543</v>
      </c>
      <c r="D46" s="199">
        <v>91700</v>
      </c>
      <c r="E46" s="208">
        <v>30</v>
      </c>
      <c r="F46" s="209">
        <v>4</v>
      </c>
      <c r="G46" s="210">
        <f t="shared" si="0"/>
        <v>93570</v>
      </c>
    </row>
    <row r="47" spans="3:7" s="31" customFormat="1" ht="14.25" customHeight="1">
      <c r="C47" s="31" t="s">
        <v>544</v>
      </c>
      <c r="D47" s="199">
        <v>143000</v>
      </c>
      <c r="E47" s="208">
        <v>30</v>
      </c>
      <c r="F47" s="209">
        <v>4</v>
      </c>
      <c r="G47" s="210">
        <f t="shared" si="0"/>
        <v>144870</v>
      </c>
    </row>
    <row r="48" spans="3:7" s="31" customFormat="1" ht="14.25" customHeight="1">
      <c r="C48" s="31" t="s">
        <v>545</v>
      </c>
      <c r="D48" s="199">
        <v>73300</v>
      </c>
      <c r="E48" s="208">
        <v>30</v>
      </c>
      <c r="F48" s="209">
        <v>4</v>
      </c>
      <c r="G48" s="210">
        <f t="shared" si="0"/>
        <v>75170</v>
      </c>
    </row>
    <row r="49" spans="3:9" s="31" customFormat="1" ht="14.25" customHeight="1">
      <c r="C49" s="31" t="s">
        <v>546</v>
      </c>
      <c r="D49" s="199">
        <v>106000</v>
      </c>
      <c r="E49" s="208">
        <v>1</v>
      </c>
      <c r="F49" s="209">
        <v>1.5</v>
      </c>
      <c r="G49" s="210">
        <f t="shared" si="0"/>
        <v>106486</v>
      </c>
    </row>
    <row r="50" spans="3:9" s="31" customFormat="1" ht="14.25" customHeight="1">
      <c r="C50" s="193" t="s">
        <v>276</v>
      </c>
      <c r="D50" s="199">
        <v>112000</v>
      </c>
      <c r="E50" s="208">
        <v>30</v>
      </c>
      <c r="F50" s="209">
        <v>4</v>
      </c>
      <c r="G50" s="210">
        <f t="shared" si="0"/>
        <v>113870</v>
      </c>
    </row>
    <row r="51" spans="3:9" s="213" customFormat="1" ht="14.25" customHeight="1">
      <c r="C51" s="195" t="s">
        <v>547</v>
      </c>
      <c r="D51" s="199">
        <v>95300</v>
      </c>
      <c r="E51" s="208">
        <v>3</v>
      </c>
      <c r="F51" s="209">
        <v>2</v>
      </c>
      <c r="G51" s="210">
        <f t="shared" si="0"/>
        <v>95983</v>
      </c>
      <c r="H51" s="212"/>
    </row>
    <row r="52" spans="3:9" s="31" customFormat="1" ht="14.25" customHeight="1">
      <c r="C52" s="31" t="s">
        <v>548</v>
      </c>
      <c r="D52" s="199">
        <v>100000</v>
      </c>
      <c r="E52" s="208">
        <v>30</v>
      </c>
      <c r="F52" s="209">
        <v>4</v>
      </c>
      <c r="G52" s="210">
        <f t="shared" si="0"/>
        <v>101870</v>
      </c>
    </row>
    <row r="53" spans="3:9" s="31" customFormat="1" ht="14.25" customHeight="1">
      <c r="C53" s="31" t="s">
        <v>549</v>
      </c>
      <c r="D53" s="199">
        <v>112000</v>
      </c>
      <c r="E53" s="208">
        <v>200</v>
      </c>
      <c r="F53" s="209">
        <v>4</v>
      </c>
      <c r="G53" s="210">
        <f t="shared" si="0"/>
        <v>117440</v>
      </c>
      <c r="H53" s="214"/>
      <c r="I53" s="215"/>
    </row>
    <row r="54" spans="3:9" s="31" customFormat="1" ht="14.25" customHeight="1">
      <c r="C54" s="31" t="s">
        <v>550</v>
      </c>
      <c r="D54" s="199">
        <v>70800</v>
      </c>
      <c r="E54" s="208">
        <v>3</v>
      </c>
      <c r="F54" s="209">
        <v>0.6</v>
      </c>
      <c r="G54" s="210">
        <f t="shared" si="0"/>
        <v>71049</v>
      </c>
      <c r="H54" s="214"/>
    </row>
    <row r="55" spans="3:9" s="31" customFormat="1" ht="14.25" customHeight="1">
      <c r="C55" s="31" t="s">
        <v>551</v>
      </c>
      <c r="D55" s="199">
        <v>70800</v>
      </c>
      <c r="E55" s="208">
        <v>3</v>
      </c>
      <c r="F55" s="209">
        <v>0.6</v>
      </c>
      <c r="G55" s="210">
        <f t="shared" si="0"/>
        <v>71049</v>
      </c>
      <c r="H55" s="214"/>
    </row>
    <row r="56" spans="3:9" s="31" customFormat="1" ht="14.25" customHeight="1">
      <c r="C56" s="31" t="s">
        <v>552</v>
      </c>
      <c r="D56" s="199">
        <v>79600</v>
      </c>
      <c r="E56" s="208">
        <v>3</v>
      </c>
      <c r="F56" s="209">
        <v>0.6</v>
      </c>
      <c r="G56" s="210">
        <f t="shared" si="0"/>
        <v>79849</v>
      </c>
      <c r="H56" s="214"/>
    </row>
    <row r="57" spans="3:9" s="31" customFormat="1" ht="14.25" customHeight="1">
      <c r="C57" s="31" t="s">
        <v>553</v>
      </c>
      <c r="D57" s="199">
        <v>54600</v>
      </c>
      <c r="E57" s="208">
        <v>1</v>
      </c>
      <c r="F57" s="209">
        <v>0.1</v>
      </c>
      <c r="G57" s="210">
        <f t="shared" si="0"/>
        <v>54652</v>
      </c>
      <c r="H57" s="216"/>
    </row>
    <row r="58" spans="3:9" s="31" customFormat="1" ht="14.25" customHeight="1">
      <c r="C58" s="31" t="s">
        <v>554</v>
      </c>
      <c r="D58" s="199">
        <v>54600</v>
      </c>
      <c r="E58" s="208">
        <v>1</v>
      </c>
      <c r="F58" s="209">
        <v>0.1</v>
      </c>
      <c r="G58" s="210">
        <f t="shared" si="0"/>
        <v>54652</v>
      </c>
      <c r="H58" s="214"/>
    </row>
    <row r="59" spans="3:9" s="31" customFormat="1" ht="14.25" customHeight="1">
      <c r="C59" s="31" t="s">
        <v>555</v>
      </c>
      <c r="D59" s="199">
        <v>54600</v>
      </c>
      <c r="E59" s="208">
        <v>1</v>
      </c>
      <c r="F59" s="209">
        <v>0.1</v>
      </c>
      <c r="G59" s="210">
        <f t="shared" si="0"/>
        <v>54652</v>
      </c>
      <c r="H59" s="214"/>
    </row>
    <row r="60" spans="3:9" s="31" customFormat="1" ht="14.25" customHeight="1">
      <c r="C60" s="35" t="s">
        <v>556</v>
      </c>
      <c r="D60" s="196">
        <v>100000</v>
      </c>
      <c r="E60" s="217">
        <v>30</v>
      </c>
      <c r="F60" s="218">
        <v>4</v>
      </c>
      <c r="G60" s="219">
        <f t="shared" si="0"/>
        <v>101870</v>
      </c>
      <c r="H60" s="214"/>
    </row>
    <row r="61" spans="3:9" s="31" customFormat="1">
      <c r="D61" s="214"/>
      <c r="E61" s="199"/>
      <c r="F61" s="214"/>
      <c r="G61" s="214"/>
      <c r="H61" s="214"/>
    </row>
    <row r="62" spans="3:9" s="31" customFormat="1" ht="18">
      <c r="C62" s="198" t="s">
        <v>575</v>
      </c>
      <c r="E62" s="199"/>
    </row>
    <row r="63" spans="3:9" s="31" customFormat="1" ht="12.75" customHeight="1">
      <c r="C63" s="40" t="s">
        <v>504</v>
      </c>
      <c r="E63" s="199"/>
    </row>
    <row r="64" spans="3:9" s="194" customFormat="1" ht="16.5" customHeight="1">
      <c r="C64" s="200" t="s">
        <v>13</v>
      </c>
      <c r="D64" s="201" t="s">
        <v>558</v>
      </c>
      <c r="E64" s="202" t="s">
        <v>559</v>
      </c>
      <c r="F64" s="201" t="s">
        <v>560</v>
      </c>
      <c r="G64" s="203" t="s">
        <v>561</v>
      </c>
    </row>
    <row r="65" spans="3:7" s="31" customFormat="1">
      <c r="C65" s="204" t="s">
        <v>506</v>
      </c>
      <c r="D65" s="205">
        <v>1</v>
      </c>
      <c r="E65" s="206">
        <v>21</v>
      </c>
      <c r="F65" s="205">
        <v>310</v>
      </c>
      <c r="G65" s="207"/>
    </row>
    <row r="66" spans="3:7" s="31" customFormat="1">
      <c r="C66" s="31" t="s">
        <v>507</v>
      </c>
      <c r="D66" s="199">
        <v>73300</v>
      </c>
      <c r="E66" s="208">
        <v>3</v>
      </c>
      <c r="F66" s="209">
        <v>0.6</v>
      </c>
      <c r="G66" s="210">
        <f>D66+E66*$E$7+F66*$F$7</f>
        <v>73549</v>
      </c>
    </row>
    <row r="67" spans="3:7" s="31" customFormat="1">
      <c r="C67" s="31" t="s">
        <v>508</v>
      </c>
      <c r="D67" s="199">
        <v>77000</v>
      </c>
      <c r="E67" s="208">
        <v>3</v>
      </c>
      <c r="F67" s="209">
        <v>0.6</v>
      </c>
      <c r="G67" s="210">
        <f t="shared" ref="G67:G118" si="1">D67+E67*$E$7+F67*$F$7</f>
        <v>77249</v>
      </c>
    </row>
    <row r="68" spans="3:7" s="31" customFormat="1">
      <c r="C68" s="31" t="s">
        <v>509</v>
      </c>
      <c r="D68" s="199">
        <v>64200</v>
      </c>
      <c r="E68" s="208">
        <v>3</v>
      </c>
      <c r="F68" s="209">
        <v>0.6</v>
      </c>
      <c r="G68" s="210">
        <f t="shared" si="1"/>
        <v>64449</v>
      </c>
    </row>
    <row r="69" spans="3:7" s="31" customFormat="1">
      <c r="C69" s="31" t="s">
        <v>510</v>
      </c>
      <c r="D69" s="199">
        <v>69300</v>
      </c>
      <c r="E69" s="208">
        <v>3</v>
      </c>
      <c r="F69" s="209">
        <v>0.6</v>
      </c>
      <c r="G69" s="210">
        <f t="shared" si="1"/>
        <v>69549</v>
      </c>
    </row>
    <row r="70" spans="3:7" s="31" customFormat="1">
      <c r="C70" s="31" t="s">
        <v>511</v>
      </c>
      <c r="D70" s="199">
        <v>70000</v>
      </c>
      <c r="E70" s="208">
        <v>3</v>
      </c>
      <c r="F70" s="209">
        <v>0.6</v>
      </c>
      <c r="G70" s="210">
        <f t="shared" si="1"/>
        <v>70249</v>
      </c>
    </row>
    <row r="71" spans="3:7" s="31" customFormat="1">
      <c r="C71" s="31" t="s">
        <v>512</v>
      </c>
      <c r="D71" s="199">
        <v>70000</v>
      </c>
      <c r="E71" s="208">
        <v>3</v>
      </c>
      <c r="F71" s="209">
        <v>0.6</v>
      </c>
      <c r="G71" s="210">
        <f t="shared" si="1"/>
        <v>70249</v>
      </c>
    </row>
    <row r="72" spans="3:7" s="31" customFormat="1">
      <c r="C72" s="31" t="s">
        <v>513</v>
      </c>
      <c r="D72" s="199">
        <v>71500</v>
      </c>
      <c r="E72" s="208">
        <v>3</v>
      </c>
      <c r="F72" s="209">
        <v>0.6</v>
      </c>
      <c r="G72" s="210">
        <f t="shared" si="1"/>
        <v>71749</v>
      </c>
    </row>
    <row r="73" spans="3:7" s="31" customFormat="1">
      <c r="C73" s="31" t="s">
        <v>514</v>
      </c>
      <c r="D73" s="199">
        <v>71900</v>
      </c>
      <c r="E73" s="208">
        <v>3</v>
      </c>
      <c r="F73" s="209">
        <v>0.6</v>
      </c>
      <c r="G73" s="210">
        <f t="shared" si="1"/>
        <v>72149</v>
      </c>
    </row>
    <row r="74" spans="3:7" s="31" customFormat="1">
      <c r="C74" s="31" t="s">
        <v>515</v>
      </c>
      <c r="D74" s="199">
        <v>73300</v>
      </c>
      <c r="E74" s="208">
        <v>3</v>
      </c>
      <c r="F74" s="209">
        <v>0.6</v>
      </c>
      <c r="G74" s="210">
        <f t="shared" si="1"/>
        <v>73549</v>
      </c>
    </row>
    <row r="75" spans="3:7" s="31" customFormat="1">
      <c r="C75" s="31" t="s">
        <v>516</v>
      </c>
      <c r="D75" s="199">
        <v>74100</v>
      </c>
      <c r="E75" s="208">
        <v>3</v>
      </c>
      <c r="F75" s="209">
        <v>0.6</v>
      </c>
      <c r="G75" s="210">
        <f t="shared" si="1"/>
        <v>74349</v>
      </c>
    </row>
    <row r="76" spans="3:7" s="31" customFormat="1">
      <c r="C76" s="31" t="s">
        <v>517</v>
      </c>
      <c r="D76" s="199">
        <v>77400</v>
      </c>
      <c r="E76" s="208">
        <v>3</v>
      </c>
      <c r="F76" s="209">
        <v>0.6</v>
      </c>
      <c r="G76" s="210">
        <f t="shared" si="1"/>
        <v>77649</v>
      </c>
    </row>
    <row r="77" spans="3:7" s="31" customFormat="1">
      <c r="C77" s="31" t="s">
        <v>518</v>
      </c>
      <c r="D77" s="199">
        <v>63100</v>
      </c>
      <c r="E77" s="208">
        <v>1</v>
      </c>
      <c r="F77" s="209">
        <v>0.1</v>
      </c>
      <c r="G77" s="210">
        <f t="shared" si="1"/>
        <v>63152</v>
      </c>
    </row>
    <row r="78" spans="3:7" s="31" customFormat="1">
      <c r="C78" s="31" t="s">
        <v>519</v>
      </c>
      <c r="D78" s="199">
        <v>61600</v>
      </c>
      <c r="E78" s="208">
        <v>1</v>
      </c>
      <c r="F78" s="209">
        <v>0.1</v>
      </c>
      <c r="G78" s="210">
        <f t="shared" si="1"/>
        <v>61652</v>
      </c>
    </row>
    <row r="79" spans="3:7" s="31" customFormat="1">
      <c r="C79" s="31" t="s">
        <v>520</v>
      </c>
      <c r="D79" s="199">
        <v>73300</v>
      </c>
      <c r="E79" s="208">
        <v>3</v>
      </c>
      <c r="F79" s="209">
        <v>0.6</v>
      </c>
      <c r="G79" s="210">
        <f t="shared" si="1"/>
        <v>73549</v>
      </c>
    </row>
    <row r="80" spans="3:7" s="31" customFormat="1">
      <c r="C80" s="31" t="s">
        <v>521</v>
      </c>
      <c r="D80" s="199">
        <v>80700</v>
      </c>
      <c r="E80" s="208">
        <v>3</v>
      </c>
      <c r="F80" s="209">
        <v>0.6</v>
      </c>
      <c r="G80" s="210">
        <f t="shared" si="1"/>
        <v>80949</v>
      </c>
    </row>
    <row r="81" spans="3:7" s="31" customFormat="1">
      <c r="C81" s="31" t="s">
        <v>522</v>
      </c>
      <c r="D81" s="199">
        <v>73300</v>
      </c>
      <c r="E81" s="208">
        <v>3</v>
      </c>
      <c r="F81" s="209">
        <v>0.6</v>
      </c>
      <c r="G81" s="210">
        <f t="shared" si="1"/>
        <v>73549</v>
      </c>
    </row>
    <row r="82" spans="3:7" s="31" customFormat="1">
      <c r="C82" s="193" t="s">
        <v>523</v>
      </c>
      <c r="D82" s="199">
        <v>97500</v>
      </c>
      <c r="E82" s="208">
        <v>3</v>
      </c>
      <c r="F82" s="209">
        <v>0.6</v>
      </c>
      <c r="G82" s="210">
        <f t="shared" si="1"/>
        <v>97749</v>
      </c>
    </row>
    <row r="83" spans="3:7" s="31" customFormat="1">
      <c r="C83" s="31" t="s">
        <v>524</v>
      </c>
      <c r="D83" s="199">
        <v>73300</v>
      </c>
      <c r="E83" s="208">
        <v>3</v>
      </c>
      <c r="F83" s="209">
        <v>0.6</v>
      </c>
      <c r="G83" s="210">
        <f t="shared" si="1"/>
        <v>73549</v>
      </c>
    </row>
    <row r="84" spans="3:7" s="31" customFormat="1">
      <c r="C84" s="31" t="s">
        <v>525</v>
      </c>
      <c r="D84" s="199">
        <v>57600</v>
      </c>
      <c r="E84" s="208">
        <v>1</v>
      </c>
      <c r="F84" s="209">
        <v>0.1</v>
      </c>
      <c r="G84" s="210">
        <f t="shared" si="1"/>
        <v>57652</v>
      </c>
    </row>
    <row r="85" spans="3:7" s="31" customFormat="1">
      <c r="C85" s="31" t="s">
        <v>526</v>
      </c>
      <c r="D85" s="199">
        <v>73300</v>
      </c>
      <c r="E85" s="208">
        <v>3</v>
      </c>
      <c r="F85" s="209">
        <v>0.6</v>
      </c>
      <c r="G85" s="210">
        <f t="shared" si="1"/>
        <v>73549</v>
      </c>
    </row>
    <row r="86" spans="3:7" s="31" customFormat="1">
      <c r="C86" s="31" t="s">
        <v>527</v>
      </c>
      <c r="D86" s="199">
        <v>73300</v>
      </c>
      <c r="E86" s="208">
        <v>3</v>
      </c>
      <c r="F86" s="209">
        <v>0.6</v>
      </c>
      <c r="G86" s="210">
        <f t="shared" si="1"/>
        <v>73549</v>
      </c>
    </row>
    <row r="87" spans="3:7" s="31" customFormat="1">
      <c r="C87" s="193" t="s">
        <v>528</v>
      </c>
      <c r="D87" s="199">
        <v>73300</v>
      </c>
      <c r="E87" s="208">
        <v>3</v>
      </c>
      <c r="F87" s="209">
        <v>0.6</v>
      </c>
      <c r="G87" s="210">
        <f t="shared" si="1"/>
        <v>73549</v>
      </c>
    </row>
    <row r="88" spans="3:7" s="31" customFormat="1">
      <c r="C88" s="194" t="s">
        <v>529</v>
      </c>
      <c r="D88" s="199">
        <v>98300</v>
      </c>
      <c r="E88" s="208">
        <v>10</v>
      </c>
      <c r="F88" s="209">
        <v>1.5</v>
      </c>
      <c r="G88" s="210">
        <f t="shared" si="1"/>
        <v>98975</v>
      </c>
    </row>
    <row r="89" spans="3:7" s="31" customFormat="1">
      <c r="C89" s="31" t="s">
        <v>530</v>
      </c>
      <c r="D89" s="199">
        <v>94600</v>
      </c>
      <c r="E89" s="208">
        <v>10</v>
      </c>
      <c r="F89" s="209">
        <v>1.5</v>
      </c>
      <c r="G89" s="210">
        <f t="shared" si="1"/>
        <v>95275</v>
      </c>
    </row>
    <row r="90" spans="3:7" s="31" customFormat="1">
      <c r="C90" s="31" t="s">
        <v>531</v>
      </c>
      <c r="D90" s="199">
        <v>94600</v>
      </c>
      <c r="E90" s="208">
        <v>10</v>
      </c>
      <c r="F90" s="209">
        <v>1.5</v>
      </c>
      <c r="G90" s="210">
        <f t="shared" si="1"/>
        <v>95275</v>
      </c>
    </row>
    <row r="91" spans="3:7" s="31" customFormat="1">
      <c r="C91" s="31" t="s">
        <v>532</v>
      </c>
      <c r="D91" s="199">
        <v>96100</v>
      </c>
      <c r="E91" s="208">
        <v>10</v>
      </c>
      <c r="F91" s="209">
        <v>1.5</v>
      </c>
      <c r="G91" s="210">
        <f t="shared" si="1"/>
        <v>96775</v>
      </c>
    </row>
    <row r="92" spans="3:7" s="31" customFormat="1">
      <c r="C92" s="31" t="s">
        <v>533</v>
      </c>
      <c r="D92" s="199">
        <v>101000</v>
      </c>
      <c r="E92" s="208">
        <v>10</v>
      </c>
      <c r="F92" s="209">
        <v>1.5</v>
      </c>
      <c r="G92" s="210">
        <f t="shared" si="1"/>
        <v>101675</v>
      </c>
    </row>
    <row r="93" spans="3:7" s="31" customFormat="1">
      <c r="C93" s="31" t="s">
        <v>534</v>
      </c>
      <c r="D93" s="199">
        <v>107000</v>
      </c>
      <c r="E93" s="208">
        <v>10</v>
      </c>
      <c r="F93" s="209">
        <v>1.5</v>
      </c>
      <c r="G93" s="210">
        <f t="shared" si="1"/>
        <v>107675</v>
      </c>
    </row>
    <row r="94" spans="3:7" s="31" customFormat="1">
      <c r="C94" s="31" t="s">
        <v>535</v>
      </c>
      <c r="D94" s="199">
        <v>97500</v>
      </c>
      <c r="E94" s="208">
        <v>10</v>
      </c>
      <c r="F94" s="209">
        <v>1.5</v>
      </c>
      <c r="G94" s="210">
        <f t="shared" si="1"/>
        <v>98175</v>
      </c>
    </row>
    <row r="95" spans="3:7" s="31" customFormat="1">
      <c r="C95" s="31" t="s">
        <v>536</v>
      </c>
      <c r="D95" s="199">
        <v>97500</v>
      </c>
      <c r="E95" s="208">
        <v>10</v>
      </c>
      <c r="F95" s="209">
        <v>1.5</v>
      </c>
      <c r="G95" s="210">
        <f t="shared" si="1"/>
        <v>98175</v>
      </c>
    </row>
    <row r="96" spans="3:7" s="31" customFormat="1">
      <c r="C96" s="31" t="s">
        <v>537</v>
      </c>
      <c r="D96" s="199">
        <v>107000</v>
      </c>
      <c r="E96" s="208">
        <v>10</v>
      </c>
      <c r="F96" s="209">
        <v>1.5</v>
      </c>
      <c r="G96" s="210">
        <f t="shared" si="1"/>
        <v>107675</v>
      </c>
    </row>
    <row r="97" spans="3:7" s="31" customFormat="1">
      <c r="C97" s="31" t="s">
        <v>557</v>
      </c>
      <c r="D97" s="199">
        <v>107000</v>
      </c>
      <c r="E97" s="208">
        <v>1</v>
      </c>
      <c r="F97" s="209">
        <v>0.1</v>
      </c>
      <c r="G97" s="210">
        <f t="shared" si="1"/>
        <v>107052</v>
      </c>
    </row>
    <row r="98" spans="3:7" s="31" customFormat="1">
      <c r="C98" s="31" t="s">
        <v>538</v>
      </c>
      <c r="D98" s="199">
        <v>80700</v>
      </c>
      <c r="E98" s="208">
        <v>10</v>
      </c>
      <c r="F98" s="209">
        <v>1.5</v>
      </c>
      <c r="G98" s="210">
        <f t="shared" si="1"/>
        <v>81375</v>
      </c>
    </row>
    <row r="99" spans="3:7" s="31" customFormat="1">
      <c r="C99" s="31" t="s">
        <v>539</v>
      </c>
      <c r="D99" s="199">
        <v>44400</v>
      </c>
      <c r="E99" s="208">
        <v>1</v>
      </c>
      <c r="F99" s="209">
        <v>0.1</v>
      </c>
      <c r="G99" s="210">
        <f t="shared" si="1"/>
        <v>44452</v>
      </c>
    </row>
    <row r="100" spans="3:7" s="31" customFormat="1">
      <c r="C100" s="31" t="s">
        <v>540</v>
      </c>
      <c r="D100" s="199">
        <v>44400</v>
      </c>
      <c r="E100" s="208">
        <v>1</v>
      </c>
      <c r="F100" s="209">
        <v>0.1</v>
      </c>
      <c r="G100" s="210">
        <f t="shared" si="1"/>
        <v>44452</v>
      </c>
    </row>
    <row r="101" spans="3:7" s="31" customFormat="1">
      <c r="C101" s="31" t="s">
        <v>541</v>
      </c>
      <c r="D101" s="199">
        <v>260000</v>
      </c>
      <c r="E101" s="208">
        <v>1</v>
      </c>
      <c r="F101" s="209">
        <v>0.1</v>
      </c>
      <c r="G101" s="210">
        <f t="shared" si="1"/>
        <v>260052</v>
      </c>
    </row>
    <row r="102" spans="3:7" s="31" customFormat="1">
      <c r="C102" s="31" t="s">
        <v>542</v>
      </c>
      <c r="D102" s="199">
        <v>182000</v>
      </c>
      <c r="E102" s="208">
        <v>1</v>
      </c>
      <c r="F102" s="209">
        <v>0.1</v>
      </c>
      <c r="G102" s="210">
        <f t="shared" si="1"/>
        <v>182052</v>
      </c>
    </row>
    <row r="103" spans="3:7" s="31" customFormat="1">
      <c r="C103" s="31" t="s">
        <v>509</v>
      </c>
      <c r="D103" s="199">
        <v>56100</v>
      </c>
      <c r="E103" s="208">
        <v>1</v>
      </c>
      <c r="F103" s="209">
        <v>0.1</v>
      </c>
      <c r="G103" s="210">
        <f t="shared" si="1"/>
        <v>56152</v>
      </c>
    </row>
    <row r="104" spans="3:7" s="31" customFormat="1">
      <c r="C104" s="31" t="s">
        <v>543</v>
      </c>
      <c r="D104" s="199">
        <v>91700</v>
      </c>
      <c r="E104" s="208">
        <v>30</v>
      </c>
      <c r="F104" s="209">
        <v>4</v>
      </c>
      <c r="G104" s="210">
        <f t="shared" si="1"/>
        <v>93570</v>
      </c>
    </row>
    <row r="105" spans="3:7" s="31" customFormat="1">
      <c r="C105" s="31" t="s">
        <v>544</v>
      </c>
      <c r="D105" s="199">
        <v>143000</v>
      </c>
      <c r="E105" s="208">
        <v>30</v>
      </c>
      <c r="F105" s="209">
        <v>4</v>
      </c>
      <c r="G105" s="210">
        <f t="shared" si="1"/>
        <v>144870</v>
      </c>
    </row>
    <row r="106" spans="3:7" s="31" customFormat="1">
      <c r="C106" s="31" t="s">
        <v>545</v>
      </c>
      <c r="D106" s="199">
        <v>73300</v>
      </c>
      <c r="E106" s="208">
        <v>30</v>
      </c>
      <c r="F106" s="209">
        <v>4</v>
      </c>
      <c r="G106" s="210">
        <f t="shared" si="1"/>
        <v>75170</v>
      </c>
    </row>
    <row r="107" spans="3:7" s="31" customFormat="1">
      <c r="C107" s="31" t="s">
        <v>546</v>
      </c>
      <c r="D107" s="199">
        <v>106000</v>
      </c>
      <c r="E107" s="208">
        <v>2</v>
      </c>
      <c r="F107" s="209">
        <v>1.5</v>
      </c>
      <c r="G107" s="210">
        <f t="shared" si="1"/>
        <v>106507</v>
      </c>
    </row>
    <row r="108" spans="3:7" s="31" customFormat="1">
      <c r="C108" s="193" t="s">
        <v>276</v>
      </c>
      <c r="D108" s="199">
        <v>112000</v>
      </c>
      <c r="E108" s="208">
        <v>30</v>
      </c>
      <c r="F108" s="209">
        <v>4</v>
      </c>
      <c r="G108" s="210">
        <f t="shared" si="1"/>
        <v>113870</v>
      </c>
    </row>
    <row r="109" spans="3:7" s="31" customFormat="1">
      <c r="C109" s="195" t="s">
        <v>547</v>
      </c>
      <c r="D109" s="199">
        <v>95300</v>
      </c>
      <c r="E109" s="208">
        <v>3</v>
      </c>
      <c r="F109" s="209">
        <v>2</v>
      </c>
      <c r="G109" s="210">
        <f t="shared" si="1"/>
        <v>95983</v>
      </c>
    </row>
    <row r="110" spans="3:7" s="31" customFormat="1">
      <c r="C110" s="31" t="s">
        <v>548</v>
      </c>
      <c r="D110" s="199">
        <v>100000</v>
      </c>
      <c r="E110" s="208">
        <v>30</v>
      </c>
      <c r="F110" s="209">
        <v>4</v>
      </c>
      <c r="G110" s="210">
        <f t="shared" si="1"/>
        <v>101870</v>
      </c>
    </row>
    <row r="111" spans="3:7" s="31" customFormat="1">
      <c r="C111" s="31" t="s">
        <v>549</v>
      </c>
      <c r="D111" s="199">
        <v>112000</v>
      </c>
      <c r="E111" s="208">
        <v>200</v>
      </c>
      <c r="F111" s="209">
        <v>4</v>
      </c>
      <c r="G111" s="210">
        <f t="shared" si="1"/>
        <v>117440</v>
      </c>
    </row>
    <row r="112" spans="3:7" s="31" customFormat="1">
      <c r="C112" s="31" t="s">
        <v>550</v>
      </c>
      <c r="D112" s="199">
        <v>70800</v>
      </c>
      <c r="E112" s="208">
        <v>3</v>
      </c>
      <c r="F112" s="209">
        <v>0.6</v>
      </c>
      <c r="G112" s="210">
        <f t="shared" si="1"/>
        <v>71049</v>
      </c>
    </row>
    <row r="113" spans="3:7" s="31" customFormat="1">
      <c r="C113" s="31" t="s">
        <v>551</v>
      </c>
      <c r="D113" s="199">
        <v>70800</v>
      </c>
      <c r="E113" s="208">
        <v>3</v>
      </c>
      <c r="F113" s="209">
        <v>0.6</v>
      </c>
      <c r="G113" s="210">
        <f t="shared" si="1"/>
        <v>71049</v>
      </c>
    </row>
    <row r="114" spans="3:7" s="31" customFormat="1">
      <c r="C114" s="31" t="s">
        <v>552</v>
      </c>
      <c r="D114" s="199">
        <v>79600</v>
      </c>
      <c r="E114" s="208">
        <v>3</v>
      </c>
      <c r="F114" s="209">
        <v>0.6</v>
      </c>
      <c r="G114" s="210">
        <f t="shared" si="1"/>
        <v>79849</v>
      </c>
    </row>
    <row r="115" spans="3:7" s="31" customFormat="1">
      <c r="C115" s="31" t="s">
        <v>553</v>
      </c>
      <c r="D115" s="199">
        <v>54600</v>
      </c>
      <c r="E115" s="208">
        <v>1</v>
      </c>
      <c r="F115" s="209">
        <v>0.1</v>
      </c>
      <c r="G115" s="210">
        <f t="shared" si="1"/>
        <v>54652</v>
      </c>
    </row>
    <row r="116" spans="3:7" s="31" customFormat="1">
      <c r="C116" s="31" t="s">
        <v>554</v>
      </c>
      <c r="D116" s="199">
        <v>54600</v>
      </c>
      <c r="E116" s="208">
        <v>1</v>
      </c>
      <c r="F116" s="209">
        <v>0.1</v>
      </c>
      <c r="G116" s="210">
        <f t="shared" si="1"/>
        <v>54652</v>
      </c>
    </row>
    <row r="117" spans="3:7" s="31" customFormat="1">
      <c r="C117" s="31" t="s">
        <v>555</v>
      </c>
      <c r="D117" s="199">
        <v>54600</v>
      </c>
      <c r="E117" s="208">
        <v>1</v>
      </c>
      <c r="F117" s="209">
        <v>0.1</v>
      </c>
      <c r="G117" s="210">
        <f t="shared" si="1"/>
        <v>54652</v>
      </c>
    </row>
    <row r="118" spans="3:7" s="31" customFormat="1">
      <c r="C118" s="35" t="s">
        <v>556</v>
      </c>
      <c r="D118" s="196">
        <v>100000</v>
      </c>
      <c r="E118" s="217">
        <v>30</v>
      </c>
      <c r="F118" s="218">
        <v>4</v>
      </c>
      <c r="G118" s="219">
        <f t="shared" si="1"/>
        <v>101870</v>
      </c>
    </row>
    <row r="119" spans="3:7" s="31" customFormat="1">
      <c r="C119" s="187"/>
      <c r="D119" s="220"/>
      <c r="E119" s="221"/>
      <c r="F119" s="220"/>
      <c r="G119" s="222"/>
    </row>
    <row r="120" spans="3:7" s="31" customFormat="1">
      <c r="C120" s="187"/>
      <c r="D120" s="220"/>
      <c r="E120" s="221"/>
      <c r="F120" s="220"/>
      <c r="G120" s="222"/>
    </row>
    <row r="121" spans="3:7" s="31" customFormat="1" ht="18">
      <c r="C121" s="198" t="s">
        <v>577</v>
      </c>
      <c r="E121" s="199"/>
    </row>
    <row r="122" spans="3:7" s="31" customFormat="1" ht="12.75" customHeight="1">
      <c r="C122" s="40" t="s">
        <v>504</v>
      </c>
      <c r="E122" s="199"/>
    </row>
    <row r="123" spans="3:7" s="194" customFormat="1" ht="16.5" customHeight="1">
      <c r="C123" s="200" t="s">
        <v>13</v>
      </c>
      <c r="D123" s="201" t="s">
        <v>558</v>
      </c>
      <c r="E123" s="202" t="s">
        <v>559</v>
      </c>
      <c r="F123" s="201" t="s">
        <v>560</v>
      </c>
      <c r="G123" s="203" t="s">
        <v>561</v>
      </c>
    </row>
    <row r="124" spans="3:7" s="31" customFormat="1">
      <c r="C124" s="204" t="s">
        <v>506</v>
      </c>
      <c r="D124" s="205">
        <v>1</v>
      </c>
      <c r="E124" s="206">
        <v>21</v>
      </c>
      <c r="F124" s="205">
        <v>310</v>
      </c>
      <c r="G124" s="207"/>
    </row>
    <row r="125" spans="3:7" s="31" customFormat="1" ht="14.25" customHeight="1">
      <c r="C125" s="31" t="s">
        <v>507</v>
      </c>
      <c r="D125" s="199">
        <v>73300</v>
      </c>
      <c r="E125" s="208">
        <v>10</v>
      </c>
      <c r="F125" s="209">
        <v>0.6</v>
      </c>
      <c r="G125" s="210">
        <f>D125+E125*$E$7+F125*$F$7</f>
        <v>73696</v>
      </c>
    </row>
    <row r="126" spans="3:7" s="31" customFormat="1" ht="14.25" customHeight="1">
      <c r="C126" s="31" t="s">
        <v>508</v>
      </c>
      <c r="D126" s="199">
        <v>77000</v>
      </c>
      <c r="E126" s="208">
        <v>10</v>
      </c>
      <c r="F126" s="209">
        <v>0.6</v>
      </c>
      <c r="G126" s="210">
        <f t="shared" ref="G126:G177" si="2">D126+E126*$E$7+F126*$F$7</f>
        <v>77396</v>
      </c>
    </row>
    <row r="127" spans="3:7" s="31" customFormat="1" ht="14.25" customHeight="1">
      <c r="C127" s="31" t="s">
        <v>509</v>
      </c>
      <c r="D127" s="199">
        <v>64200</v>
      </c>
      <c r="E127" s="208">
        <v>10</v>
      </c>
      <c r="F127" s="209">
        <v>0.6</v>
      </c>
      <c r="G127" s="210">
        <f t="shared" si="2"/>
        <v>64596</v>
      </c>
    </row>
    <row r="128" spans="3:7" s="31" customFormat="1" ht="14.25" customHeight="1">
      <c r="C128" s="31" t="s">
        <v>510</v>
      </c>
      <c r="D128" s="199">
        <v>69300</v>
      </c>
      <c r="E128" s="208">
        <v>10</v>
      </c>
      <c r="F128" s="209">
        <v>0.6</v>
      </c>
      <c r="G128" s="210">
        <f t="shared" si="2"/>
        <v>69696</v>
      </c>
    </row>
    <row r="129" spans="3:7" s="31" customFormat="1" ht="14.25" customHeight="1">
      <c r="C129" s="31" t="s">
        <v>511</v>
      </c>
      <c r="D129" s="199">
        <v>70000</v>
      </c>
      <c r="E129" s="208">
        <v>10</v>
      </c>
      <c r="F129" s="209">
        <v>0.6</v>
      </c>
      <c r="G129" s="210">
        <f t="shared" si="2"/>
        <v>70396</v>
      </c>
    </row>
    <row r="130" spans="3:7" s="31" customFormat="1" ht="14.25" customHeight="1">
      <c r="C130" s="31" t="s">
        <v>512</v>
      </c>
      <c r="D130" s="199">
        <v>70000</v>
      </c>
      <c r="E130" s="208">
        <v>10</v>
      </c>
      <c r="F130" s="209">
        <v>0.6</v>
      </c>
      <c r="G130" s="210">
        <f t="shared" si="2"/>
        <v>70396</v>
      </c>
    </row>
    <row r="131" spans="3:7" s="31" customFormat="1" ht="14.25" customHeight="1">
      <c r="C131" s="31" t="s">
        <v>513</v>
      </c>
      <c r="D131" s="199">
        <v>71500</v>
      </c>
      <c r="E131" s="208">
        <v>10</v>
      </c>
      <c r="F131" s="209">
        <v>0.6</v>
      </c>
      <c r="G131" s="210">
        <f t="shared" si="2"/>
        <v>71896</v>
      </c>
    </row>
    <row r="132" spans="3:7" s="31" customFormat="1" ht="14.25" customHeight="1">
      <c r="C132" s="31" t="s">
        <v>514</v>
      </c>
      <c r="D132" s="199">
        <v>71900</v>
      </c>
      <c r="E132" s="208">
        <v>10</v>
      </c>
      <c r="F132" s="209">
        <v>0.6</v>
      </c>
      <c r="G132" s="210">
        <f t="shared" si="2"/>
        <v>72296</v>
      </c>
    </row>
    <row r="133" spans="3:7" s="31" customFormat="1" ht="14.25" customHeight="1">
      <c r="C133" s="31" t="s">
        <v>515</v>
      </c>
      <c r="D133" s="199">
        <v>73300</v>
      </c>
      <c r="E133" s="208">
        <v>10</v>
      </c>
      <c r="F133" s="209">
        <v>0.6</v>
      </c>
      <c r="G133" s="210">
        <f t="shared" si="2"/>
        <v>73696</v>
      </c>
    </row>
    <row r="134" spans="3:7" s="31" customFormat="1" ht="14.25" customHeight="1">
      <c r="C134" s="31" t="s">
        <v>516</v>
      </c>
      <c r="D134" s="199">
        <v>74100</v>
      </c>
      <c r="E134" s="208">
        <v>10</v>
      </c>
      <c r="F134" s="209">
        <v>0.6</v>
      </c>
      <c r="G134" s="210">
        <f t="shared" si="2"/>
        <v>74496</v>
      </c>
    </row>
    <row r="135" spans="3:7" s="31" customFormat="1" ht="14.25" customHeight="1">
      <c r="C135" s="31" t="s">
        <v>517</v>
      </c>
      <c r="D135" s="199">
        <v>77400</v>
      </c>
      <c r="E135" s="208">
        <v>10</v>
      </c>
      <c r="F135" s="209">
        <v>0.6</v>
      </c>
      <c r="G135" s="210">
        <f t="shared" si="2"/>
        <v>77796</v>
      </c>
    </row>
    <row r="136" spans="3:7" s="31" customFormat="1" ht="14.25" customHeight="1">
      <c r="C136" s="31" t="s">
        <v>518</v>
      </c>
      <c r="D136" s="199">
        <v>63100</v>
      </c>
      <c r="E136" s="208">
        <v>5</v>
      </c>
      <c r="F136" s="209">
        <v>0.1</v>
      </c>
      <c r="G136" s="210">
        <f t="shared" si="2"/>
        <v>63236</v>
      </c>
    </row>
    <row r="137" spans="3:7" s="31" customFormat="1" ht="14.25" customHeight="1">
      <c r="C137" s="31" t="s">
        <v>519</v>
      </c>
      <c r="D137" s="199">
        <v>61600</v>
      </c>
      <c r="E137" s="208">
        <v>5</v>
      </c>
      <c r="F137" s="209">
        <v>0.1</v>
      </c>
      <c r="G137" s="210">
        <f t="shared" si="2"/>
        <v>61736</v>
      </c>
    </row>
    <row r="138" spans="3:7" s="31" customFormat="1" ht="14.25" customHeight="1">
      <c r="C138" s="31" t="s">
        <v>520</v>
      </c>
      <c r="D138" s="199">
        <v>73300</v>
      </c>
      <c r="E138" s="208">
        <v>10</v>
      </c>
      <c r="F138" s="209">
        <v>0.6</v>
      </c>
      <c r="G138" s="210">
        <f t="shared" si="2"/>
        <v>73696</v>
      </c>
    </row>
    <row r="139" spans="3:7" s="31" customFormat="1" ht="14.25" customHeight="1">
      <c r="C139" s="31" t="s">
        <v>521</v>
      </c>
      <c r="D139" s="199">
        <v>80700</v>
      </c>
      <c r="E139" s="208">
        <v>10</v>
      </c>
      <c r="F139" s="209">
        <v>0.6</v>
      </c>
      <c r="G139" s="210">
        <f t="shared" si="2"/>
        <v>81096</v>
      </c>
    </row>
    <row r="140" spans="3:7" s="31" customFormat="1" ht="14.25" customHeight="1">
      <c r="C140" s="31" t="s">
        <v>522</v>
      </c>
      <c r="D140" s="199">
        <v>73300</v>
      </c>
      <c r="E140" s="208">
        <v>10</v>
      </c>
      <c r="F140" s="209">
        <v>0.6</v>
      </c>
      <c r="G140" s="210">
        <f t="shared" si="2"/>
        <v>73696</v>
      </c>
    </row>
    <row r="141" spans="3:7" s="31" customFormat="1" ht="14.25" customHeight="1">
      <c r="C141" s="193" t="s">
        <v>523</v>
      </c>
      <c r="D141" s="199">
        <v>97500</v>
      </c>
      <c r="E141" s="208">
        <v>10</v>
      </c>
      <c r="F141" s="209">
        <v>0.6</v>
      </c>
      <c r="G141" s="210">
        <f t="shared" si="2"/>
        <v>97896</v>
      </c>
    </row>
    <row r="142" spans="3:7" s="31" customFormat="1" ht="14.25" customHeight="1">
      <c r="C142" s="31" t="s">
        <v>524</v>
      </c>
      <c r="D142" s="199">
        <v>73300</v>
      </c>
      <c r="E142" s="208">
        <v>10</v>
      </c>
      <c r="F142" s="209">
        <v>0.6</v>
      </c>
      <c r="G142" s="210">
        <f t="shared" si="2"/>
        <v>73696</v>
      </c>
    </row>
    <row r="143" spans="3:7" s="31" customFormat="1" ht="14.25" customHeight="1">
      <c r="C143" s="31" t="s">
        <v>525</v>
      </c>
      <c r="D143" s="199">
        <v>57600</v>
      </c>
      <c r="E143" s="208">
        <v>5</v>
      </c>
      <c r="F143" s="209">
        <v>0.1</v>
      </c>
      <c r="G143" s="210">
        <f t="shared" si="2"/>
        <v>57736</v>
      </c>
    </row>
    <row r="144" spans="3:7" s="31" customFormat="1" ht="14.25" customHeight="1">
      <c r="C144" s="31" t="s">
        <v>526</v>
      </c>
      <c r="D144" s="199">
        <v>73300</v>
      </c>
      <c r="E144" s="208">
        <v>10</v>
      </c>
      <c r="F144" s="209">
        <v>0.6</v>
      </c>
      <c r="G144" s="210">
        <f t="shared" si="2"/>
        <v>73696</v>
      </c>
    </row>
    <row r="145" spans="3:7" s="31" customFormat="1" ht="14.25" customHeight="1">
      <c r="C145" s="31" t="s">
        <v>527</v>
      </c>
      <c r="D145" s="199">
        <v>73300</v>
      </c>
      <c r="E145" s="208">
        <v>10</v>
      </c>
      <c r="F145" s="209">
        <v>0.6</v>
      </c>
      <c r="G145" s="210">
        <f t="shared" si="2"/>
        <v>73696</v>
      </c>
    </row>
    <row r="146" spans="3:7" s="31" customFormat="1" ht="14.25" customHeight="1">
      <c r="C146" s="193" t="s">
        <v>528</v>
      </c>
      <c r="D146" s="199">
        <v>73300</v>
      </c>
      <c r="E146" s="208">
        <v>10</v>
      </c>
      <c r="F146" s="209">
        <v>0.6</v>
      </c>
      <c r="G146" s="210">
        <f t="shared" si="2"/>
        <v>73696</v>
      </c>
    </row>
    <row r="147" spans="3:7" s="194" customFormat="1" ht="14.25" customHeight="1">
      <c r="C147" s="194" t="s">
        <v>529</v>
      </c>
      <c r="D147" s="199">
        <v>98300</v>
      </c>
      <c r="E147" s="208">
        <v>10</v>
      </c>
      <c r="F147" s="209">
        <v>1.5</v>
      </c>
      <c r="G147" s="210">
        <f t="shared" si="2"/>
        <v>98975</v>
      </c>
    </row>
    <row r="148" spans="3:7" s="31" customFormat="1" ht="14.25" customHeight="1">
      <c r="C148" s="31" t="s">
        <v>530</v>
      </c>
      <c r="D148" s="199">
        <v>94600</v>
      </c>
      <c r="E148" s="208">
        <v>10</v>
      </c>
      <c r="F148" s="209">
        <v>1.5</v>
      </c>
      <c r="G148" s="210">
        <f t="shared" si="2"/>
        <v>95275</v>
      </c>
    </row>
    <row r="149" spans="3:7" s="31" customFormat="1" ht="14.25" customHeight="1">
      <c r="C149" s="31" t="s">
        <v>531</v>
      </c>
      <c r="D149" s="199">
        <v>94600</v>
      </c>
      <c r="E149" s="208">
        <v>10</v>
      </c>
      <c r="F149" s="209">
        <v>1.5</v>
      </c>
      <c r="G149" s="210">
        <f t="shared" si="2"/>
        <v>95275</v>
      </c>
    </row>
    <row r="150" spans="3:7" s="31" customFormat="1" ht="14.25" customHeight="1">
      <c r="C150" s="31" t="s">
        <v>532</v>
      </c>
      <c r="D150" s="199">
        <v>96100</v>
      </c>
      <c r="E150" s="208">
        <v>10</v>
      </c>
      <c r="F150" s="209">
        <v>1.5</v>
      </c>
      <c r="G150" s="210">
        <f t="shared" si="2"/>
        <v>96775</v>
      </c>
    </row>
    <row r="151" spans="3:7" s="31" customFormat="1" ht="14.25" customHeight="1">
      <c r="C151" s="31" t="s">
        <v>533</v>
      </c>
      <c r="D151" s="199">
        <v>101000</v>
      </c>
      <c r="E151" s="208">
        <v>10</v>
      </c>
      <c r="F151" s="209">
        <v>1.5</v>
      </c>
      <c r="G151" s="210">
        <f t="shared" si="2"/>
        <v>101675</v>
      </c>
    </row>
    <row r="152" spans="3:7" s="31" customFormat="1" ht="14.25" customHeight="1">
      <c r="C152" s="31" t="s">
        <v>534</v>
      </c>
      <c r="D152" s="199">
        <v>107000</v>
      </c>
      <c r="E152" s="208">
        <v>10</v>
      </c>
      <c r="F152" s="209">
        <v>1.5</v>
      </c>
      <c r="G152" s="210">
        <f t="shared" si="2"/>
        <v>107675</v>
      </c>
    </row>
    <row r="153" spans="3:7" s="31" customFormat="1" ht="14.25" customHeight="1">
      <c r="C153" s="31" t="s">
        <v>535</v>
      </c>
      <c r="D153" s="199">
        <v>97500</v>
      </c>
      <c r="E153" s="208">
        <v>10</v>
      </c>
      <c r="F153" s="209">
        <v>1.5</v>
      </c>
      <c r="G153" s="210">
        <f t="shared" si="2"/>
        <v>98175</v>
      </c>
    </row>
    <row r="154" spans="3:7" s="31" customFormat="1" ht="14.25" customHeight="1">
      <c r="C154" s="31" t="s">
        <v>536</v>
      </c>
      <c r="D154" s="199">
        <v>97500</v>
      </c>
      <c r="E154" s="208">
        <v>10</v>
      </c>
      <c r="F154" s="209">
        <v>1.5</v>
      </c>
      <c r="G154" s="210">
        <f t="shared" si="2"/>
        <v>98175</v>
      </c>
    </row>
    <row r="155" spans="3:7" s="31" customFormat="1" ht="14.25" customHeight="1">
      <c r="C155" s="31" t="s">
        <v>537</v>
      </c>
      <c r="D155" s="199">
        <v>107000</v>
      </c>
      <c r="E155" s="208">
        <v>10</v>
      </c>
      <c r="F155" s="209">
        <v>1.5</v>
      </c>
      <c r="G155" s="210">
        <f t="shared" si="2"/>
        <v>107675</v>
      </c>
    </row>
    <row r="156" spans="3:7" s="31" customFormat="1" ht="14.25" customHeight="1">
      <c r="C156" s="31" t="s">
        <v>557</v>
      </c>
      <c r="D156" s="199">
        <v>107000</v>
      </c>
      <c r="E156" s="208">
        <v>5</v>
      </c>
      <c r="F156" s="209">
        <v>0.1</v>
      </c>
      <c r="G156" s="210">
        <f t="shared" si="2"/>
        <v>107136</v>
      </c>
    </row>
    <row r="157" spans="3:7" s="31" customFormat="1" ht="14.25" customHeight="1">
      <c r="C157" s="31" t="s">
        <v>538</v>
      </c>
      <c r="D157" s="199">
        <v>80700</v>
      </c>
      <c r="E157" s="208">
        <v>10</v>
      </c>
      <c r="F157" s="209">
        <v>1.5</v>
      </c>
      <c r="G157" s="210">
        <f t="shared" si="2"/>
        <v>81375</v>
      </c>
    </row>
    <row r="158" spans="3:7" s="31" customFormat="1" ht="14.25" customHeight="1">
      <c r="C158" s="31" t="s">
        <v>539</v>
      </c>
      <c r="D158" s="199">
        <v>44400</v>
      </c>
      <c r="E158" s="208">
        <v>5</v>
      </c>
      <c r="F158" s="209">
        <v>0.1</v>
      </c>
      <c r="G158" s="210">
        <f t="shared" si="2"/>
        <v>44536</v>
      </c>
    </row>
    <row r="159" spans="3:7" s="31" customFormat="1" ht="14.25" customHeight="1">
      <c r="C159" s="31" t="s">
        <v>540</v>
      </c>
      <c r="D159" s="199">
        <v>44400</v>
      </c>
      <c r="E159" s="208">
        <v>5</v>
      </c>
      <c r="F159" s="209">
        <v>0.1</v>
      </c>
      <c r="G159" s="210">
        <f t="shared" si="2"/>
        <v>44536</v>
      </c>
    </row>
    <row r="160" spans="3:7" s="31" customFormat="1" ht="14.25" customHeight="1">
      <c r="C160" s="31" t="s">
        <v>541</v>
      </c>
      <c r="D160" s="199">
        <v>260000</v>
      </c>
      <c r="E160" s="208">
        <v>5</v>
      </c>
      <c r="F160" s="209">
        <v>0.1</v>
      </c>
      <c r="G160" s="210">
        <f t="shared" si="2"/>
        <v>260136</v>
      </c>
    </row>
    <row r="161" spans="3:9" s="31" customFormat="1" ht="14.25" customHeight="1">
      <c r="C161" s="31" t="s">
        <v>542</v>
      </c>
      <c r="D161" s="199">
        <v>182000</v>
      </c>
      <c r="E161" s="208">
        <v>5</v>
      </c>
      <c r="F161" s="209">
        <v>0.1</v>
      </c>
      <c r="G161" s="210">
        <f t="shared" si="2"/>
        <v>182136</v>
      </c>
    </row>
    <row r="162" spans="3:9" s="31" customFormat="1" ht="14.25" customHeight="1">
      <c r="C162" s="31" t="s">
        <v>509</v>
      </c>
      <c r="D162" s="199">
        <v>56100</v>
      </c>
      <c r="E162" s="208">
        <v>5</v>
      </c>
      <c r="F162" s="209">
        <v>0.1</v>
      </c>
      <c r="G162" s="210">
        <f t="shared" si="2"/>
        <v>56236</v>
      </c>
    </row>
    <row r="163" spans="3:9" s="31" customFormat="1" ht="14.25" customHeight="1">
      <c r="C163" s="31" t="s">
        <v>543</v>
      </c>
      <c r="D163" s="199">
        <v>91700</v>
      </c>
      <c r="E163" s="208">
        <v>300</v>
      </c>
      <c r="F163" s="209">
        <v>4</v>
      </c>
      <c r="G163" s="210">
        <f t="shared" si="2"/>
        <v>99240</v>
      </c>
    </row>
    <row r="164" spans="3:9" s="31" customFormat="1" ht="14.25" customHeight="1">
      <c r="C164" s="31" t="s">
        <v>544</v>
      </c>
      <c r="D164" s="199">
        <v>143000</v>
      </c>
      <c r="E164" s="208">
        <v>300</v>
      </c>
      <c r="F164" s="209">
        <v>4</v>
      </c>
      <c r="G164" s="210">
        <f t="shared" si="2"/>
        <v>150540</v>
      </c>
    </row>
    <row r="165" spans="3:9" s="31" customFormat="1" ht="14.25" customHeight="1">
      <c r="C165" s="31" t="s">
        <v>545</v>
      </c>
      <c r="D165" s="199">
        <v>73300</v>
      </c>
      <c r="E165" s="208">
        <v>300</v>
      </c>
      <c r="F165" s="209">
        <v>4</v>
      </c>
      <c r="G165" s="210">
        <f t="shared" si="2"/>
        <v>80840</v>
      </c>
    </row>
    <row r="166" spans="3:9" s="31" customFormat="1" ht="14.25" customHeight="1">
      <c r="C166" s="31" t="s">
        <v>546</v>
      </c>
      <c r="D166" s="199">
        <v>106000</v>
      </c>
      <c r="E166" s="208">
        <v>10</v>
      </c>
      <c r="F166" s="209">
        <v>1.5</v>
      </c>
      <c r="G166" s="210">
        <f t="shared" si="2"/>
        <v>106675</v>
      </c>
    </row>
    <row r="167" spans="3:9" s="31" customFormat="1" ht="14.25" customHeight="1">
      <c r="C167" s="193" t="s">
        <v>276</v>
      </c>
      <c r="D167" s="199">
        <v>112000</v>
      </c>
      <c r="E167" s="208">
        <v>300</v>
      </c>
      <c r="F167" s="209">
        <v>4</v>
      </c>
      <c r="G167" s="210">
        <f t="shared" si="2"/>
        <v>119540</v>
      </c>
    </row>
    <row r="168" spans="3:9" s="213" customFormat="1" ht="14.25" customHeight="1">
      <c r="C168" s="195" t="s">
        <v>547</v>
      </c>
      <c r="D168" s="199">
        <v>95300</v>
      </c>
      <c r="E168" s="208">
        <v>3</v>
      </c>
      <c r="F168" s="209">
        <v>2</v>
      </c>
      <c r="G168" s="210">
        <f t="shared" si="2"/>
        <v>95983</v>
      </c>
      <c r="H168" s="212"/>
    </row>
    <row r="169" spans="3:9" s="31" customFormat="1" ht="14.25" customHeight="1">
      <c r="C169" s="31" t="s">
        <v>548</v>
      </c>
      <c r="D169" s="199">
        <v>100000</v>
      </c>
      <c r="E169" s="208">
        <v>300</v>
      </c>
      <c r="F169" s="209">
        <v>4</v>
      </c>
      <c r="G169" s="210">
        <f t="shared" si="2"/>
        <v>107540</v>
      </c>
    </row>
    <row r="170" spans="3:9" s="31" customFormat="1" ht="14.25" customHeight="1">
      <c r="C170" s="31" t="s">
        <v>549</v>
      </c>
      <c r="D170" s="199">
        <v>112000</v>
      </c>
      <c r="E170" s="208">
        <v>200</v>
      </c>
      <c r="F170" s="209">
        <v>4</v>
      </c>
      <c r="G170" s="210">
        <f t="shared" si="2"/>
        <v>117440</v>
      </c>
      <c r="H170" s="214"/>
      <c r="I170" s="215"/>
    </row>
    <row r="171" spans="3:9" s="31" customFormat="1" ht="14.25" customHeight="1">
      <c r="C171" s="31" t="s">
        <v>550</v>
      </c>
      <c r="D171" s="199">
        <v>70800</v>
      </c>
      <c r="E171" s="208">
        <v>10</v>
      </c>
      <c r="F171" s="209">
        <v>0.6</v>
      </c>
      <c r="G171" s="210">
        <f t="shared" si="2"/>
        <v>71196</v>
      </c>
      <c r="H171" s="214"/>
    </row>
    <row r="172" spans="3:9" s="31" customFormat="1" ht="14.25" customHeight="1">
      <c r="C172" s="31" t="s">
        <v>551</v>
      </c>
      <c r="D172" s="199">
        <v>70800</v>
      </c>
      <c r="E172" s="208">
        <v>10</v>
      </c>
      <c r="F172" s="209">
        <v>0.6</v>
      </c>
      <c r="G172" s="210">
        <f t="shared" si="2"/>
        <v>71196</v>
      </c>
      <c r="H172" s="214"/>
    </row>
    <row r="173" spans="3:9" s="31" customFormat="1" ht="14.25" customHeight="1">
      <c r="C173" s="31" t="s">
        <v>552</v>
      </c>
      <c r="D173" s="199">
        <v>79600</v>
      </c>
      <c r="E173" s="208">
        <v>10</v>
      </c>
      <c r="F173" s="209">
        <v>0.6</v>
      </c>
      <c r="G173" s="210">
        <f t="shared" si="2"/>
        <v>79996</v>
      </c>
      <c r="H173" s="214"/>
    </row>
    <row r="174" spans="3:9" s="31" customFormat="1" ht="14.25" customHeight="1">
      <c r="C174" s="31" t="s">
        <v>553</v>
      </c>
      <c r="D174" s="199">
        <v>54600</v>
      </c>
      <c r="E174" s="208">
        <v>5</v>
      </c>
      <c r="F174" s="209">
        <v>0.1</v>
      </c>
      <c r="G174" s="210">
        <f t="shared" si="2"/>
        <v>54736</v>
      </c>
      <c r="H174" s="216"/>
    </row>
    <row r="175" spans="3:9" s="31" customFormat="1" ht="14.25" customHeight="1">
      <c r="C175" s="31" t="s">
        <v>554</v>
      </c>
      <c r="D175" s="199">
        <v>54600</v>
      </c>
      <c r="E175" s="208">
        <v>5</v>
      </c>
      <c r="F175" s="209">
        <v>0.1</v>
      </c>
      <c r="G175" s="210">
        <f t="shared" si="2"/>
        <v>54736</v>
      </c>
      <c r="H175" s="214"/>
    </row>
    <row r="176" spans="3:9" s="31" customFormat="1" ht="14.25" customHeight="1">
      <c r="C176" s="31" t="s">
        <v>555</v>
      </c>
      <c r="D176" s="199">
        <v>54600</v>
      </c>
      <c r="E176" s="208">
        <v>5</v>
      </c>
      <c r="F176" s="209">
        <v>0.1</v>
      </c>
      <c r="G176" s="210">
        <f t="shared" si="2"/>
        <v>54736</v>
      </c>
      <c r="H176" s="214"/>
    </row>
    <row r="177" spans="3:8" s="31" customFormat="1" ht="14.25" customHeight="1">
      <c r="C177" s="35" t="s">
        <v>556</v>
      </c>
      <c r="D177" s="196">
        <v>100000</v>
      </c>
      <c r="E177" s="217">
        <v>300</v>
      </c>
      <c r="F177" s="218">
        <v>4</v>
      </c>
      <c r="G177" s="219">
        <f t="shared" si="2"/>
        <v>107540</v>
      </c>
      <c r="H177" s="214"/>
    </row>
    <row r="178" spans="3:8" s="31" customFormat="1">
      <c r="D178" s="214"/>
      <c r="E178" s="199"/>
      <c r="F178" s="214"/>
      <c r="G178" s="214"/>
      <c r="H178" s="214"/>
    </row>
    <row r="179" spans="3:8" s="31" customFormat="1">
      <c r="D179" s="214"/>
      <c r="E179" s="199"/>
      <c r="F179" s="214"/>
      <c r="G179" s="214"/>
      <c r="H179" s="214"/>
    </row>
    <row r="180" spans="3:8" s="31" customFormat="1" ht="18">
      <c r="C180" s="198" t="s">
        <v>578</v>
      </c>
      <c r="E180" s="199"/>
    </row>
    <row r="181" spans="3:8" s="31" customFormat="1" ht="12.75" customHeight="1">
      <c r="C181" s="40" t="s">
        <v>504</v>
      </c>
      <c r="E181" s="199"/>
    </row>
    <row r="182" spans="3:8" s="194" customFormat="1" ht="16.5" customHeight="1">
      <c r="C182" s="200" t="s">
        <v>13</v>
      </c>
      <c r="D182" s="201" t="s">
        <v>558</v>
      </c>
      <c r="E182" s="202" t="s">
        <v>559</v>
      </c>
      <c r="F182" s="201" t="s">
        <v>560</v>
      </c>
      <c r="G182" s="203" t="s">
        <v>561</v>
      </c>
    </row>
    <row r="183" spans="3:8" s="31" customFormat="1">
      <c r="C183" s="204" t="s">
        <v>506</v>
      </c>
      <c r="D183" s="205">
        <v>1</v>
      </c>
      <c r="E183" s="206">
        <v>21</v>
      </c>
      <c r="F183" s="205">
        <v>310</v>
      </c>
      <c r="G183" s="207"/>
    </row>
    <row r="184" spans="3:8" s="31" customFormat="1">
      <c r="C184" s="31" t="s">
        <v>507</v>
      </c>
      <c r="D184" s="199">
        <v>73300</v>
      </c>
      <c r="E184" s="208">
        <v>10</v>
      </c>
      <c r="F184" s="209">
        <v>0.6</v>
      </c>
      <c r="G184" s="210">
        <f>D184+E184*$E$7+F184*$F$7</f>
        <v>73696</v>
      </c>
    </row>
    <row r="185" spans="3:8" s="31" customFormat="1">
      <c r="C185" s="31" t="s">
        <v>508</v>
      </c>
      <c r="D185" s="199">
        <v>77000</v>
      </c>
      <c r="E185" s="208">
        <v>10</v>
      </c>
      <c r="F185" s="209">
        <v>0.6</v>
      </c>
      <c r="G185" s="210">
        <f t="shared" ref="G185:G236" si="3">D185+E185*$E$7+F185*$F$7</f>
        <v>77396</v>
      </c>
    </row>
    <row r="186" spans="3:8" s="31" customFormat="1">
      <c r="C186" s="31" t="s">
        <v>509</v>
      </c>
      <c r="D186" s="199">
        <v>64200</v>
      </c>
      <c r="E186" s="208">
        <v>10</v>
      </c>
      <c r="F186" s="209">
        <v>0.6</v>
      </c>
      <c r="G186" s="210">
        <f t="shared" si="3"/>
        <v>64596</v>
      </c>
    </row>
    <row r="187" spans="3:8" s="31" customFormat="1">
      <c r="C187" s="31" t="s">
        <v>510</v>
      </c>
      <c r="D187" s="199">
        <v>69300</v>
      </c>
      <c r="E187" s="208">
        <v>10</v>
      </c>
      <c r="F187" s="209">
        <v>0.6</v>
      </c>
      <c r="G187" s="210">
        <f t="shared" si="3"/>
        <v>69696</v>
      </c>
    </row>
    <row r="188" spans="3:8" s="31" customFormat="1">
      <c r="C188" s="31" t="s">
        <v>511</v>
      </c>
      <c r="D188" s="199">
        <v>70000</v>
      </c>
      <c r="E188" s="208">
        <v>10</v>
      </c>
      <c r="F188" s="209">
        <v>0.6</v>
      </c>
      <c r="G188" s="210">
        <f t="shared" si="3"/>
        <v>70396</v>
      </c>
    </row>
    <row r="189" spans="3:8" s="31" customFormat="1">
      <c r="C189" s="31" t="s">
        <v>512</v>
      </c>
      <c r="D189" s="199">
        <v>70000</v>
      </c>
      <c r="E189" s="208">
        <v>10</v>
      </c>
      <c r="F189" s="209">
        <v>0.6</v>
      </c>
      <c r="G189" s="210">
        <f t="shared" si="3"/>
        <v>70396</v>
      </c>
    </row>
    <row r="190" spans="3:8" s="31" customFormat="1">
      <c r="C190" s="31" t="s">
        <v>513</v>
      </c>
      <c r="D190" s="199">
        <v>71500</v>
      </c>
      <c r="E190" s="208">
        <v>10</v>
      </c>
      <c r="F190" s="209">
        <v>0.6</v>
      </c>
      <c r="G190" s="210">
        <f t="shared" si="3"/>
        <v>71896</v>
      </c>
    </row>
    <row r="191" spans="3:8" s="31" customFormat="1">
      <c r="C191" s="31" t="s">
        <v>514</v>
      </c>
      <c r="D191" s="199">
        <v>71900</v>
      </c>
      <c r="E191" s="208">
        <v>10</v>
      </c>
      <c r="F191" s="209">
        <v>0.6</v>
      </c>
      <c r="G191" s="210">
        <f t="shared" si="3"/>
        <v>72296</v>
      </c>
    </row>
    <row r="192" spans="3:8" s="31" customFormat="1">
      <c r="C192" s="31" t="s">
        <v>515</v>
      </c>
      <c r="D192" s="199">
        <v>73300</v>
      </c>
      <c r="E192" s="208">
        <v>10</v>
      </c>
      <c r="F192" s="209">
        <v>0.6</v>
      </c>
      <c r="G192" s="210">
        <f t="shared" si="3"/>
        <v>73696</v>
      </c>
    </row>
    <row r="193" spans="3:7" s="31" customFormat="1">
      <c r="C193" s="31" t="s">
        <v>516</v>
      </c>
      <c r="D193" s="199">
        <v>74100</v>
      </c>
      <c r="E193" s="208">
        <v>10</v>
      </c>
      <c r="F193" s="209">
        <v>0.6</v>
      </c>
      <c r="G193" s="210">
        <f t="shared" si="3"/>
        <v>74496</v>
      </c>
    </row>
    <row r="194" spans="3:7" s="31" customFormat="1">
      <c r="C194" s="31" t="s">
        <v>517</v>
      </c>
      <c r="D194" s="199">
        <v>77400</v>
      </c>
      <c r="E194" s="208">
        <v>10</v>
      </c>
      <c r="F194" s="209">
        <v>0.6</v>
      </c>
      <c r="G194" s="210">
        <f t="shared" si="3"/>
        <v>77796</v>
      </c>
    </row>
    <row r="195" spans="3:7" s="31" customFormat="1">
      <c r="C195" s="31" t="s">
        <v>518</v>
      </c>
      <c r="D195" s="199">
        <v>63100</v>
      </c>
      <c r="E195" s="208">
        <v>5</v>
      </c>
      <c r="F195" s="209">
        <v>0.1</v>
      </c>
      <c r="G195" s="210">
        <f t="shared" si="3"/>
        <v>63236</v>
      </c>
    </row>
    <row r="196" spans="3:7" s="31" customFormat="1">
      <c r="C196" s="31" t="s">
        <v>519</v>
      </c>
      <c r="D196" s="199">
        <v>61600</v>
      </c>
      <c r="E196" s="208">
        <v>5</v>
      </c>
      <c r="F196" s="209">
        <v>0.1</v>
      </c>
      <c r="G196" s="210">
        <f t="shared" si="3"/>
        <v>61736</v>
      </c>
    </row>
    <row r="197" spans="3:7" s="31" customFormat="1">
      <c r="C197" s="31" t="s">
        <v>520</v>
      </c>
      <c r="D197" s="199">
        <v>73300</v>
      </c>
      <c r="E197" s="208">
        <v>10</v>
      </c>
      <c r="F197" s="209">
        <v>0.6</v>
      </c>
      <c r="G197" s="210">
        <f t="shared" si="3"/>
        <v>73696</v>
      </c>
    </row>
    <row r="198" spans="3:7" s="31" customFormat="1">
      <c r="C198" s="31" t="s">
        <v>521</v>
      </c>
      <c r="D198" s="199">
        <v>80700</v>
      </c>
      <c r="E198" s="208">
        <v>10</v>
      </c>
      <c r="F198" s="209">
        <v>0.6</v>
      </c>
      <c r="G198" s="210">
        <f t="shared" si="3"/>
        <v>81096</v>
      </c>
    </row>
    <row r="199" spans="3:7" s="31" customFormat="1">
      <c r="C199" s="31" t="s">
        <v>522</v>
      </c>
      <c r="D199" s="199">
        <v>73300</v>
      </c>
      <c r="E199" s="208">
        <v>10</v>
      </c>
      <c r="F199" s="209">
        <v>0.6</v>
      </c>
      <c r="G199" s="210">
        <f t="shared" si="3"/>
        <v>73696</v>
      </c>
    </row>
    <row r="200" spans="3:7" s="31" customFormat="1">
      <c r="C200" s="193" t="s">
        <v>523</v>
      </c>
      <c r="D200" s="199">
        <v>97500</v>
      </c>
      <c r="E200" s="208">
        <v>10</v>
      </c>
      <c r="F200" s="209">
        <v>0.6</v>
      </c>
      <c r="G200" s="210">
        <f t="shared" si="3"/>
        <v>97896</v>
      </c>
    </row>
    <row r="201" spans="3:7" s="31" customFormat="1">
      <c r="C201" s="31" t="s">
        <v>524</v>
      </c>
      <c r="D201" s="199">
        <v>73300</v>
      </c>
      <c r="E201" s="208">
        <v>10</v>
      </c>
      <c r="F201" s="209">
        <v>0.6</v>
      </c>
      <c r="G201" s="210">
        <f t="shared" si="3"/>
        <v>73696</v>
      </c>
    </row>
    <row r="202" spans="3:7" s="31" customFormat="1">
      <c r="C202" s="31" t="s">
        <v>525</v>
      </c>
      <c r="D202" s="199">
        <v>57600</v>
      </c>
      <c r="E202" s="208">
        <v>5</v>
      </c>
      <c r="F202" s="209">
        <v>0.1</v>
      </c>
      <c r="G202" s="210">
        <f t="shared" si="3"/>
        <v>57736</v>
      </c>
    </row>
    <row r="203" spans="3:7" s="31" customFormat="1">
      <c r="C203" s="31" t="s">
        <v>526</v>
      </c>
      <c r="D203" s="199">
        <v>73300</v>
      </c>
      <c r="E203" s="208">
        <v>10</v>
      </c>
      <c r="F203" s="209">
        <v>0.6</v>
      </c>
      <c r="G203" s="210">
        <f t="shared" si="3"/>
        <v>73696</v>
      </c>
    </row>
    <row r="204" spans="3:7" s="31" customFormat="1">
      <c r="C204" s="31" t="s">
        <v>527</v>
      </c>
      <c r="D204" s="199">
        <v>73300</v>
      </c>
      <c r="E204" s="208">
        <v>10</v>
      </c>
      <c r="F204" s="209">
        <v>0.6</v>
      </c>
      <c r="G204" s="210">
        <f t="shared" si="3"/>
        <v>73696</v>
      </c>
    </row>
    <row r="205" spans="3:7" s="31" customFormat="1">
      <c r="C205" s="193" t="s">
        <v>528</v>
      </c>
      <c r="D205" s="199">
        <v>73300</v>
      </c>
      <c r="E205" s="208">
        <v>10</v>
      </c>
      <c r="F205" s="209">
        <v>0.6</v>
      </c>
      <c r="G205" s="210">
        <f t="shared" si="3"/>
        <v>73696</v>
      </c>
    </row>
    <row r="206" spans="3:7" s="31" customFormat="1">
      <c r="C206" s="194" t="s">
        <v>529</v>
      </c>
      <c r="D206" s="199">
        <v>98300</v>
      </c>
      <c r="E206" s="208">
        <v>300</v>
      </c>
      <c r="F206" s="209">
        <v>1.5</v>
      </c>
      <c r="G206" s="210">
        <f t="shared" si="3"/>
        <v>105065</v>
      </c>
    </row>
    <row r="207" spans="3:7" s="31" customFormat="1">
      <c r="C207" s="31" t="s">
        <v>530</v>
      </c>
      <c r="D207" s="199">
        <v>94600</v>
      </c>
      <c r="E207" s="208">
        <v>300</v>
      </c>
      <c r="F207" s="209">
        <v>1.5</v>
      </c>
      <c r="G207" s="210">
        <f t="shared" si="3"/>
        <v>101365</v>
      </c>
    </row>
    <row r="208" spans="3:7" s="31" customFormat="1">
      <c r="C208" s="31" t="s">
        <v>531</v>
      </c>
      <c r="D208" s="199">
        <v>94600</v>
      </c>
      <c r="E208" s="208">
        <v>300</v>
      </c>
      <c r="F208" s="209">
        <v>1.5</v>
      </c>
      <c r="G208" s="210">
        <f t="shared" si="3"/>
        <v>101365</v>
      </c>
    </row>
    <row r="209" spans="3:7" s="31" customFormat="1">
      <c r="C209" s="31" t="s">
        <v>532</v>
      </c>
      <c r="D209" s="199">
        <v>96100</v>
      </c>
      <c r="E209" s="208">
        <v>300</v>
      </c>
      <c r="F209" s="209">
        <v>1.5</v>
      </c>
      <c r="G209" s="210">
        <f t="shared" si="3"/>
        <v>102865</v>
      </c>
    </row>
    <row r="210" spans="3:7" s="31" customFormat="1">
      <c r="C210" s="31" t="s">
        <v>533</v>
      </c>
      <c r="D210" s="199">
        <v>101000</v>
      </c>
      <c r="E210" s="208">
        <v>300</v>
      </c>
      <c r="F210" s="209">
        <v>1.5</v>
      </c>
      <c r="G210" s="210">
        <f t="shared" si="3"/>
        <v>107765</v>
      </c>
    </row>
    <row r="211" spans="3:7" s="31" customFormat="1">
      <c r="C211" s="31" t="s">
        <v>534</v>
      </c>
      <c r="D211" s="199">
        <v>107000</v>
      </c>
      <c r="E211" s="208">
        <v>300</v>
      </c>
      <c r="F211" s="209">
        <v>1.5</v>
      </c>
      <c r="G211" s="210">
        <f t="shared" si="3"/>
        <v>113765</v>
      </c>
    </row>
    <row r="212" spans="3:7" s="31" customFormat="1">
      <c r="C212" s="31" t="s">
        <v>535</v>
      </c>
      <c r="D212" s="199">
        <v>97500</v>
      </c>
      <c r="E212" s="208">
        <v>300</v>
      </c>
      <c r="F212" s="209">
        <v>1.5</v>
      </c>
      <c r="G212" s="210">
        <f t="shared" si="3"/>
        <v>104265</v>
      </c>
    </row>
    <row r="213" spans="3:7" s="31" customFormat="1">
      <c r="C213" s="31" t="s">
        <v>536</v>
      </c>
      <c r="D213" s="199">
        <v>97500</v>
      </c>
      <c r="E213" s="208">
        <v>300</v>
      </c>
      <c r="F213" s="209">
        <v>1.5</v>
      </c>
      <c r="G213" s="210">
        <f t="shared" si="3"/>
        <v>104265</v>
      </c>
    </row>
    <row r="214" spans="3:7" s="31" customFormat="1">
      <c r="C214" s="31" t="s">
        <v>537</v>
      </c>
      <c r="D214" s="199">
        <v>107000</v>
      </c>
      <c r="E214" s="208">
        <v>300</v>
      </c>
      <c r="F214" s="209">
        <v>1.5</v>
      </c>
      <c r="G214" s="210">
        <f t="shared" si="3"/>
        <v>113765</v>
      </c>
    </row>
    <row r="215" spans="3:7" s="31" customFormat="1">
      <c r="C215" s="31" t="s">
        <v>557</v>
      </c>
      <c r="D215" s="199">
        <v>107000</v>
      </c>
      <c r="E215" s="208">
        <v>5</v>
      </c>
      <c r="F215" s="209">
        <v>0.1</v>
      </c>
      <c r="G215" s="210">
        <f t="shared" si="3"/>
        <v>107136</v>
      </c>
    </row>
    <row r="216" spans="3:7" s="31" customFormat="1">
      <c r="C216" s="31" t="s">
        <v>538</v>
      </c>
      <c r="D216" s="199">
        <v>80700</v>
      </c>
      <c r="E216" s="208">
        <v>300</v>
      </c>
      <c r="F216" s="209">
        <v>1.5</v>
      </c>
      <c r="G216" s="210">
        <f t="shared" si="3"/>
        <v>87465</v>
      </c>
    </row>
    <row r="217" spans="3:7" s="31" customFormat="1">
      <c r="C217" s="31" t="s">
        <v>539</v>
      </c>
      <c r="D217" s="199">
        <v>44400</v>
      </c>
      <c r="E217" s="208">
        <v>5</v>
      </c>
      <c r="F217" s="209">
        <v>0.1</v>
      </c>
      <c r="G217" s="210">
        <f t="shared" si="3"/>
        <v>44536</v>
      </c>
    </row>
    <row r="218" spans="3:7" s="31" customFormat="1">
      <c r="C218" s="31" t="s">
        <v>540</v>
      </c>
      <c r="D218" s="199">
        <v>44400</v>
      </c>
      <c r="E218" s="208">
        <v>5</v>
      </c>
      <c r="F218" s="209">
        <v>0.1</v>
      </c>
      <c r="G218" s="210">
        <f t="shared" si="3"/>
        <v>44536</v>
      </c>
    </row>
    <row r="219" spans="3:7" s="31" customFormat="1">
      <c r="C219" s="31" t="s">
        <v>541</v>
      </c>
      <c r="D219" s="199">
        <v>260000</v>
      </c>
      <c r="E219" s="208">
        <v>5</v>
      </c>
      <c r="F219" s="209">
        <v>0.1</v>
      </c>
      <c r="G219" s="210">
        <f t="shared" si="3"/>
        <v>260136</v>
      </c>
    </row>
    <row r="220" spans="3:7" s="31" customFormat="1">
      <c r="C220" s="31" t="s">
        <v>542</v>
      </c>
      <c r="D220" s="199">
        <v>182000</v>
      </c>
      <c r="E220" s="208">
        <v>5</v>
      </c>
      <c r="F220" s="209">
        <v>0.1</v>
      </c>
      <c r="G220" s="210">
        <f t="shared" si="3"/>
        <v>182136</v>
      </c>
    </row>
    <row r="221" spans="3:7" s="31" customFormat="1">
      <c r="C221" s="31" t="s">
        <v>509</v>
      </c>
      <c r="D221" s="199">
        <v>56100</v>
      </c>
      <c r="E221" s="208">
        <v>5</v>
      </c>
      <c r="F221" s="209">
        <v>0.1</v>
      </c>
      <c r="G221" s="210">
        <f t="shared" si="3"/>
        <v>56236</v>
      </c>
    </row>
    <row r="222" spans="3:7" s="31" customFormat="1">
      <c r="C222" s="31" t="s">
        <v>543</v>
      </c>
      <c r="D222" s="199">
        <v>91700</v>
      </c>
      <c r="E222" s="208">
        <v>300</v>
      </c>
      <c r="F222" s="209">
        <v>4</v>
      </c>
      <c r="G222" s="210">
        <f t="shared" si="3"/>
        <v>99240</v>
      </c>
    </row>
    <row r="223" spans="3:7" s="31" customFormat="1">
      <c r="C223" s="31" t="s">
        <v>544</v>
      </c>
      <c r="D223" s="199">
        <v>143000</v>
      </c>
      <c r="E223" s="208">
        <v>300</v>
      </c>
      <c r="F223" s="209">
        <v>4</v>
      </c>
      <c r="G223" s="210">
        <f t="shared" si="3"/>
        <v>150540</v>
      </c>
    </row>
    <row r="224" spans="3:7" s="31" customFormat="1">
      <c r="C224" s="31" t="s">
        <v>545</v>
      </c>
      <c r="D224" s="199">
        <v>73300</v>
      </c>
      <c r="E224" s="208">
        <v>300</v>
      </c>
      <c r="F224" s="209">
        <v>4</v>
      </c>
      <c r="G224" s="210">
        <f t="shared" si="3"/>
        <v>80840</v>
      </c>
    </row>
    <row r="225" spans="3:18" s="31" customFormat="1">
      <c r="C225" s="31" t="s">
        <v>546</v>
      </c>
      <c r="D225" s="199">
        <v>106000</v>
      </c>
      <c r="E225" s="208">
        <v>300</v>
      </c>
      <c r="F225" s="209">
        <v>1.4</v>
      </c>
      <c r="G225" s="210">
        <f t="shared" si="3"/>
        <v>112734</v>
      </c>
    </row>
    <row r="226" spans="3:18" s="31" customFormat="1">
      <c r="C226" s="193" t="s">
        <v>276</v>
      </c>
      <c r="D226" s="199">
        <v>112000</v>
      </c>
      <c r="E226" s="208">
        <v>300</v>
      </c>
      <c r="F226" s="209">
        <v>4</v>
      </c>
      <c r="G226" s="210">
        <f t="shared" si="3"/>
        <v>119540</v>
      </c>
    </row>
    <row r="227" spans="3:18" s="31" customFormat="1">
      <c r="C227" s="195" t="s">
        <v>547</v>
      </c>
      <c r="D227" s="199">
        <v>95300</v>
      </c>
      <c r="E227" s="208">
        <v>3</v>
      </c>
      <c r="F227" s="209">
        <v>2</v>
      </c>
      <c r="G227" s="210">
        <f t="shared" si="3"/>
        <v>95983</v>
      </c>
    </row>
    <row r="228" spans="3:18" s="31" customFormat="1">
      <c r="C228" s="31" t="s">
        <v>548</v>
      </c>
      <c r="D228" s="199">
        <v>100000</v>
      </c>
      <c r="E228" s="208">
        <v>300</v>
      </c>
      <c r="F228" s="209">
        <v>4</v>
      </c>
      <c r="G228" s="210">
        <f t="shared" si="3"/>
        <v>107540</v>
      </c>
    </row>
    <row r="229" spans="3:18" s="31" customFormat="1">
      <c r="C229" s="31" t="s">
        <v>549</v>
      </c>
      <c r="D229" s="199">
        <v>112000</v>
      </c>
      <c r="E229" s="208">
        <v>200</v>
      </c>
      <c r="F229" s="209">
        <v>1</v>
      </c>
      <c r="G229" s="210">
        <f t="shared" si="3"/>
        <v>116510</v>
      </c>
    </row>
    <row r="230" spans="3:18" s="31" customFormat="1">
      <c r="C230" s="31" t="s">
        <v>550</v>
      </c>
      <c r="D230" s="199">
        <v>70800</v>
      </c>
      <c r="E230" s="208">
        <v>10</v>
      </c>
      <c r="F230" s="209">
        <v>0.6</v>
      </c>
      <c r="G230" s="210">
        <f t="shared" si="3"/>
        <v>71196</v>
      </c>
    </row>
    <row r="231" spans="3:18" s="31" customFormat="1">
      <c r="C231" s="31" t="s">
        <v>551</v>
      </c>
      <c r="D231" s="199">
        <v>70800</v>
      </c>
      <c r="E231" s="208">
        <v>10</v>
      </c>
      <c r="F231" s="209">
        <v>0.6</v>
      </c>
      <c r="G231" s="210">
        <f t="shared" si="3"/>
        <v>71196</v>
      </c>
    </row>
    <row r="232" spans="3:18" s="31" customFormat="1">
      <c r="C232" s="31" t="s">
        <v>552</v>
      </c>
      <c r="D232" s="199">
        <v>79600</v>
      </c>
      <c r="E232" s="208">
        <v>10</v>
      </c>
      <c r="F232" s="209">
        <v>0.6</v>
      </c>
      <c r="G232" s="210">
        <f t="shared" si="3"/>
        <v>79996</v>
      </c>
    </row>
    <row r="233" spans="3:18" s="31" customFormat="1">
      <c r="C233" s="31" t="s">
        <v>553</v>
      </c>
      <c r="D233" s="199">
        <v>54600</v>
      </c>
      <c r="E233" s="208">
        <v>5</v>
      </c>
      <c r="F233" s="209">
        <v>0.1</v>
      </c>
      <c r="G233" s="210">
        <f t="shared" si="3"/>
        <v>54736</v>
      </c>
    </row>
    <row r="234" spans="3:18" s="31" customFormat="1">
      <c r="C234" s="31" t="s">
        <v>554</v>
      </c>
      <c r="D234" s="199">
        <v>54600</v>
      </c>
      <c r="E234" s="208">
        <v>5</v>
      </c>
      <c r="F234" s="209">
        <v>0.1</v>
      </c>
      <c r="G234" s="210">
        <f t="shared" si="3"/>
        <v>54736</v>
      </c>
    </row>
    <row r="235" spans="3:18" s="31" customFormat="1">
      <c r="C235" s="31" t="s">
        <v>555</v>
      </c>
      <c r="D235" s="199">
        <v>54600</v>
      </c>
      <c r="E235" s="208">
        <v>5</v>
      </c>
      <c r="F235" s="209">
        <v>0.1</v>
      </c>
      <c r="G235" s="210">
        <f t="shared" si="3"/>
        <v>54736</v>
      </c>
    </row>
    <row r="236" spans="3:18" s="31" customFormat="1">
      <c r="C236" s="35" t="s">
        <v>556</v>
      </c>
      <c r="D236" s="196">
        <v>100000</v>
      </c>
      <c r="E236" s="217">
        <v>300</v>
      </c>
      <c r="F236" s="218">
        <v>4</v>
      </c>
      <c r="G236" s="219">
        <f t="shared" si="3"/>
        <v>107540</v>
      </c>
    </row>
    <row r="237" spans="3:18" s="31" customFormat="1">
      <c r="C237" s="187"/>
      <c r="D237" s="220"/>
      <c r="E237" s="221"/>
      <c r="F237" s="220"/>
      <c r="G237" s="222"/>
    </row>
    <row r="238" spans="3:18" s="31" customFormat="1" ht="15">
      <c r="C238" s="223"/>
      <c r="D238" s="214"/>
      <c r="E238" s="208"/>
      <c r="F238" s="222"/>
      <c r="G238" s="222"/>
      <c r="H238" s="222"/>
      <c r="I238" s="222"/>
      <c r="J238" s="222"/>
      <c r="K238" s="222"/>
      <c r="L238" s="222"/>
      <c r="M238" s="222"/>
      <c r="N238" s="222"/>
      <c r="O238" s="222"/>
      <c r="P238" s="222"/>
      <c r="Q238" s="222"/>
      <c r="R238" s="222"/>
    </row>
    <row r="239" spans="3:18" s="225" customFormat="1" ht="18">
      <c r="C239" s="224" t="s">
        <v>196</v>
      </c>
      <c r="E239" s="226"/>
    </row>
    <row r="240" spans="3:18">
      <c r="C240" s="40" t="s">
        <v>180</v>
      </c>
    </row>
    <row r="241" spans="1:54" s="31" customFormat="1">
      <c r="A241" s="13"/>
      <c r="B241" s="13"/>
      <c r="C241" s="227" t="s">
        <v>181</v>
      </c>
      <c r="D241" s="227" t="s">
        <v>182</v>
      </c>
      <c r="E241" s="228"/>
      <c r="F241" s="229"/>
      <c r="G241" s="229"/>
      <c r="H241" s="229"/>
      <c r="I241" s="229"/>
      <c r="J241" s="229"/>
      <c r="K241" s="229"/>
      <c r="L241" s="229"/>
      <c r="M241" s="229"/>
      <c r="N241" s="229"/>
      <c r="O241" s="229"/>
      <c r="P241" s="229"/>
      <c r="Q241" s="229"/>
      <c r="R241" s="229"/>
      <c r="S241" s="229"/>
      <c r="T241" s="229"/>
      <c r="U241" s="229"/>
      <c r="V241" s="229"/>
      <c r="W241" s="229"/>
      <c r="X241" s="229"/>
      <c r="Y241" s="229"/>
      <c r="Z241" s="229"/>
      <c r="AA241" s="229"/>
      <c r="AB241" s="229"/>
      <c r="AC241" s="229"/>
      <c r="AD241" s="229"/>
      <c r="AE241" s="229"/>
      <c r="AF241" s="229"/>
      <c r="AG241" s="229"/>
      <c r="AH241" s="229"/>
      <c r="AI241" s="229"/>
      <c r="AJ241" s="229"/>
      <c r="AK241" s="229"/>
      <c r="AL241" s="229"/>
      <c r="AM241" s="229"/>
      <c r="AN241" s="229"/>
      <c r="AO241" s="229"/>
      <c r="AP241" s="229"/>
      <c r="AQ241" s="229"/>
      <c r="AR241" s="229"/>
      <c r="AS241" s="229"/>
      <c r="AT241" s="229"/>
      <c r="AU241" s="229"/>
      <c r="AV241" s="229"/>
      <c r="AW241" s="229"/>
      <c r="AX241" s="229"/>
      <c r="AY241" s="229"/>
      <c r="AZ241" s="229"/>
      <c r="BA241" s="229"/>
      <c r="BB241" s="229"/>
    </row>
    <row r="242" spans="1:54">
      <c r="C242" s="13" t="s">
        <v>183</v>
      </c>
      <c r="D242" s="13">
        <v>0.50485579999999997</v>
      </c>
    </row>
    <row r="243" spans="1:54">
      <c r="C243" s="13" t="s">
        <v>184</v>
      </c>
      <c r="D243" s="13">
        <v>0.513069</v>
      </c>
    </row>
    <row r="244" spans="1:54">
      <c r="C244" s="13" t="s">
        <v>185</v>
      </c>
      <c r="D244" s="13">
        <v>0.49541099999999999</v>
      </c>
    </row>
    <row r="245" spans="1:54">
      <c r="C245" s="13" t="s">
        <v>186</v>
      </c>
      <c r="D245" s="13">
        <v>0.33866099999999999</v>
      </c>
    </row>
    <row r="246" spans="1:54">
      <c r="C246" s="13" t="s">
        <v>187</v>
      </c>
      <c r="D246" s="13">
        <v>0.64548800000000006</v>
      </c>
    </row>
    <row r="247" spans="1:54">
      <c r="C247" s="13" t="s">
        <v>188</v>
      </c>
      <c r="D247" s="13">
        <v>0.19358649999999999</v>
      </c>
    </row>
    <row r="248" spans="1:54">
      <c r="C248" s="13" t="s">
        <v>189</v>
      </c>
      <c r="D248" s="13">
        <v>0.67047370000000006</v>
      </c>
    </row>
    <row r="249" spans="1:54">
      <c r="C249" s="13" t="s">
        <v>190</v>
      </c>
      <c r="D249" s="13">
        <v>0.4988224</v>
      </c>
    </row>
    <row r="250" spans="1:54">
      <c r="C250" s="13" t="s">
        <v>191</v>
      </c>
      <c r="D250" s="13">
        <v>0.3406189</v>
      </c>
    </row>
    <row r="251" spans="1:54">
      <c r="C251" s="13" t="s">
        <v>192</v>
      </c>
      <c r="D251" s="13">
        <v>0.7293463</v>
      </c>
    </row>
    <row r="252" spans="1:54">
      <c r="C252" s="13" t="s">
        <v>40</v>
      </c>
      <c r="D252" s="13">
        <v>3.2440199999999995E-2</v>
      </c>
    </row>
    <row r="253" spans="1:54">
      <c r="C253" s="13" t="s">
        <v>41</v>
      </c>
      <c r="D253" s="13">
        <v>0.68811820000000001</v>
      </c>
    </row>
    <row r="254" spans="1:54">
      <c r="C254" s="13" t="s">
        <v>42</v>
      </c>
      <c r="D254" s="13">
        <v>9.8200400000000007E-2</v>
      </c>
    </row>
    <row r="255" spans="1:54">
      <c r="C255" s="13" t="s">
        <v>43</v>
      </c>
      <c r="D255" s="13">
        <v>0.30336960000000002</v>
      </c>
    </row>
    <row r="256" spans="1:54">
      <c r="C256" s="13" t="s">
        <v>44</v>
      </c>
      <c r="D256" s="13">
        <v>0.13829089999999999</v>
      </c>
    </row>
    <row r="257" spans="3:4">
      <c r="C257" s="13" t="s">
        <v>45</v>
      </c>
      <c r="D257" s="13">
        <v>0.9205270000000001</v>
      </c>
    </row>
    <row r="258" spans="3:4">
      <c r="C258" s="13" t="s">
        <v>46</v>
      </c>
      <c r="D258" s="13">
        <v>0.21447099999999999</v>
      </c>
    </row>
    <row r="259" spans="3:4">
      <c r="C259" s="13" t="s">
        <v>47</v>
      </c>
      <c r="D259" s="13">
        <v>0.47347519999999998</v>
      </c>
    </row>
    <row r="260" spans="3:4">
      <c r="C260" s="13" t="s">
        <v>48</v>
      </c>
      <c r="D260" s="13">
        <v>0.82486369999999998</v>
      </c>
    </row>
    <row r="261" spans="3:4">
      <c r="C261" s="13" t="s">
        <v>49</v>
      </c>
      <c r="D261" s="13">
        <v>0.58433079999999993</v>
      </c>
    </row>
    <row r="262" spans="3:4">
      <c r="C262" s="13" t="s">
        <v>50</v>
      </c>
      <c r="D262" s="13">
        <v>0.2963771</v>
      </c>
    </row>
    <row r="263" spans="3:4">
      <c r="C263" s="13" t="s">
        <v>51</v>
      </c>
      <c r="D263" s="13">
        <v>0.26003599999999999</v>
      </c>
    </row>
    <row r="264" spans="3:4">
      <c r="C264" s="13" t="s">
        <v>52</v>
      </c>
      <c r="D264" s="13">
        <v>0.69621259999999996</v>
      </c>
    </row>
    <row r="265" spans="3:4">
      <c r="C265" s="13" t="s">
        <v>53</v>
      </c>
      <c r="D265" s="13">
        <v>0.5049688</v>
      </c>
    </row>
    <row r="266" spans="3:4">
      <c r="C266" s="13" t="s">
        <v>54</v>
      </c>
      <c r="D266" s="13">
        <v>0.80195799999999995</v>
      </c>
    </row>
    <row r="267" spans="3:4">
      <c r="C267" s="13" t="s">
        <v>55</v>
      </c>
      <c r="D267" s="13">
        <v>1.8514538999999999</v>
      </c>
    </row>
    <row r="268" spans="3:4">
      <c r="C268" s="13" t="s">
        <v>56</v>
      </c>
      <c r="D268" s="13">
        <v>8.1437599999999999E-2</v>
      </c>
    </row>
    <row r="269" spans="3:4">
      <c r="C269" s="13" t="s">
        <v>57</v>
      </c>
      <c r="D269" s="13">
        <v>0.82100490000000004</v>
      </c>
    </row>
    <row r="270" spans="3:4">
      <c r="C270" s="13" t="s">
        <v>58</v>
      </c>
      <c r="D270" s="13">
        <v>0.44796179999999997</v>
      </c>
    </row>
    <row r="271" spans="3:4">
      <c r="C271" s="13" t="s">
        <v>59</v>
      </c>
      <c r="D271" s="13">
        <v>1.0049344</v>
      </c>
    </row>
    <row r="272" spans="3:4">
      <c r="C272" s="13" t="s">
        <v>60</v>
      </c>
      <c r="D272" s="13">
        <v>4.2535699999999996E-2</v>
      </c>
    </row>
    <row r="273" spans="3:4">
      <c r="C273" s="13" t="s">
        <v>61</v>
      </c>
      <c r="D273" s="13">
        <v>0.18417900000000001</v>
      </c>
    </row>
    <row r="274" spans="3:4">
      <c r="C274" s="13" t="s">
        <v>62</v>
      </c>
      <c r="D274" s="13">
        <v>0.29424250000000002</v>
      </c>
    </row>
    <row r="275" spans="3:4">
      <c r="C275" s="13" t="s">
        <v>135</v>
      </c>
      <c r="D275" s="13">
        <v>0.7875875</v>
      </c>
    </row>
    <row r="276" spans="3:4">
      <c r="C276" s="13" t="s">
        <v>63</v>
      </c>
      <c r="D276" s="13">
        <v>0.65888190000000002</v>
      </c>
    </row>
    <row r="277" spans="3:4">
      <c r="C277" s="13" t="s">
        <v>64</v>
      </c>
      <c r="D277" s="13">
        <v>0.14961720000000001</v>
      </c>
    </row>
    <row r="278" spans="3:4">
      <c r="C278" s="13" t="s">
        <v>65</v>
      </c>
      <c r="D278" s="13">
        <v>0.1023289</v>
      </c>
    </row>
    <row r="279" spans="3:4">
      <c r="C279" s="13" t="s">
        <v>73</v>
      </c>
      <c r="D279" s="13">
        <v>2.7816E-3</v>
      </c>
    </row>
    <row r="280" spans="3:4">
      <c r="C280" s="13" t="s">
        <v>66</v>
      </c>
      <c r="D280" s="13">
        <v>4.7398499999999996E-2</v>
      </c>
    </row>
    <row r="281" spans="3:4">
      <c r="C281" s="13" t="s">
        <v>67</v>
      </c>
      <c r="D281" s="13">
        <v>0.43621719999999997</v>
      </c>
    </row>
    <row r="282" spans="3:4">
      <c r="C282" s="13" t="s">
        <v>68</v>
      </c>
      <c r="D282" s="13">
        <v>0.31839800000000001</v>
      </c>
    </row>
    <row r="283" spans="3:4">
      <c r="C283" s="13" t="s">
        <v>69</v>
      </c>
      <c r="D283" s="13">
        <v>1.0194388999999999</v>
      </c>
    </row>
    <row r="284" spans="3:4">
      <c r="C284" s="13" t="s">
        <v>70</v>
      </c>
      <c r="D284" s="13">
        <v>0.75828020000000007</v>
      </c>
    </row>
    <row r="285" spans="3:4">
      <c r="C285" s="13" t="s">
        <v>71</v>
      </c>
      <c r="D285" s="13">
        <v>0.52662900000000001</v>
      </c>
    </row>
    <row r="286" spans="3:4">
      <c r="C286" s="13" t="s">
        <v>74</v>
      </c>
      <c r="D286" s="13">
        <v>0.341339</v>
      </c>
    </row>
    <row r="287" spans="3:4">
      <c r="C287" s="13" t="s">
        <v>75</v>
      </c>
      <c r="D287" s="13">
        <v>0.6238551</v>
      </c>
    </row>
    <row r="288" spans="3:4">
      <c r="C288" s="13" t="s">
        <v>76</v>
      </c>
      <c r="D288" s="13">
        <v>0.3957349</v>
      </c>
    </row>
    <row r="289" spans="3:4">
      <c r="C289" s="13" t="s">
        <v>9</v>
      </c>
      <c r="D289" s="13">
        <v>0.46980840000000001</v>
      </c>
    </row>
    <row r="290" spans="3:4">
      <c r="C290" s="13" t="s">
        <v>77</v>
      </c>
      <c r="D290" s="13">
        <v>0.2167277</v>
      </c>
    </row>
    <row r="291" spans="3:4">
      <c r="C291" s="13" t="s">
        <v>78</v>
      </c>
      <c r="D291" s="13">
        <v>0.69034200000000001</v>
      </c>
    </row>
    <row r="292" spans="3:4">
      <c r="C292" s="13" t="s">
        <v>79</v>
      </c>
      <c r="D292" s="13">
        <v>0.64015809999999995</v>
      </c>
    </row>
    <row r="293" spans="3:4">
      <c r="C293" s="13" t="s">
        <v>80</v>
      </c>
      <c r="D293" s="13">
        <v>2.9140000000000004E-3</v>
      </c>
    </row>
    <row r="294" spans="3:4">
      <c r="C294" s="13" t="s">
        <v>81</v>
      </c>
      <c r="D294" s="13">
        <v>0.241592</v>
      </c>
    </row>
    <row r="295" spans="3:4">
      <c r="C295" s="13" t="s">
        <v>83</v>
      </c>
      <c r="D295" s="13">
        <v>8.4953000000000001E-2</v>
      </c>
    </row>
    <row r="296" spans="3:4">
      <c r="C296" s="13" t="s">
        <v>84</v>
      </c>
      <c r="D296" s="13">
        <v>0.34666050000000004</v>
      </c>
    </row>
    <row r="297" spans="3:4">
      <c r="C297" s="13" t="s">
        <v>85</v>
      </c>
      <c r="D297" s="13">
        <v>0.14496780000000001</v>
      </c>
    </row>
    <row r="298" spans="3:4">
      <c r="C298" s="13" t="s">
        <v>86</v>
      </c>
      <c r="D298" s="13">
        <v>0.40362900000000002</v>
      </c>
    </row>
    <row r="299" spans="3:4">
      <c r="C299" s="13" t="s">
        <v>87</v>
      </c>
      <c r="D299" s="13">
        <v>0.27569850000000001</v>
      </c>
    </row>
    <row r="300" spans="3:4">
      <c r="C300" s="13" t="s">
        <v>88</v>
      </c>
      <c r="D300" s="13">
        <v>0.73043050000000009</v>
      </c>
    </row>
    <row r="301" spans="3:4">
      <c r="C301" s="13" t="s">
        <v>89</v>
      </c>
      <c r="D301" s="13">
        <v>0.72496400000000005</v>
      </c>
    </row>
    <row r="302" spans="3:4">
      <c r="C302" s="13" t="s">
        <v>90</v>
      </c>
      <c r="D302" s="13">
        <v>0.33441470000000001</v>
      </c>
    </row>
    <row r="303" spans="3:4">
      <c r="C303" s="13" t="s">
        <v>91</v>
      </c>
      <c r="D303" s="13">
        <v>0.30518250000000002</v>
      </c>
    </row>
    <row r="304" spans="3:4">
      <c r="C304" s="13" t="s">
        <v>92</v>
      </c>
      <c r="D304" s="13">
        <v>0.41325259999999997</v>
      </c>
    </row>
    <row r="305" spans="3:4">
      <c r="C305" s="13" t="s">
        <v>93</v>
      </c>
      <c r="D305" s="13">
        <v>0.85461260000000006</v>
      </c>
    </row>
    <row r="306" spans="3:4">
      <c r="C306" s="13" t="s">
        <v>94</v>
      </c>
      <c r="D306" s="13">
        <v>0.34392700000000004</v>
      </c>
    </row>
    <row r="307" spans="3:4">
      <c r="C307" s="13" t="s">
        <v>95</v>
      </c>
      <c r="D307" s="13">
        <v>5.4200000000000006E-4</v>
      </c>
    </row>
    <row r="308" spans="3:4">
      <c r="C308" s="13" t="s">
        <v>96</v>
      </c>
      <c r="D308" s="13">
        <v>0.9440385</v>
      </c>
    </row>
    <row r="309" spans="3:4">
      <c r="C309" s="13" t="s">
        <v>97</v>
      </c>
      <c r="D309" s="13">
        <v>0.67672529999999997</v>
      </c>
    </row>
    <row r="310" spans="3:4">
      <c r="C310" s="13" t="s">
        <v>100</v>
      </c>
      <c r="D310" s="13">
        <v>0.51435469999999994</v>
      </c>
    </row>
    <row r="311" spans="3:4">
      <c r="C311" s="13" t="s">
        <v>98</v>
      </c>
      <c r="D311" s="13">
        <v>0.70090959999999991</v>
      </c>
    </row>
    <row r="312" spans="3:4">
      <c r="C312" s="13" t="s">
        <v>99</v>
      </c>
      <c r="D312" s="13">
        <v>0.53533299999999995</v>
      </c>
    </row>
    <row r="313" spans="3:4">
      <c r="C313" s="13" t="s">
        <v>101</v>
      </c>
      <c r="D313" s="13">
        <v>0.77365099999999998</v>
      </c>
    </row>
    <row r="314" spans="3:4">
      <c r="C314" s="13" t="s">
        <v>102</v>
      </c>
      <c r="D314" s="13">
        <v>0.40351199999999998</v>
      </c>
    </row>
    <row r="315" spans="3:4">
      <c r="C315" s="13" t="s">
        <v>103</v>
      </c>
      <c r="D315" s="13">
        <v>0.82975509999999997</v>
      </c>
    </row>
    <row r="316" spans="3:4">
      <c r="C316" s="13" t="s">
        <v>104</v>
      </c>
      <c r="D316" s="13">
        <v>0.418346</v>
      </c>
    </row>
    <row r="317" spans="3:4">
      <c r="C317" s="13" t="s">
        <v>105</v>
      </c>
      <c r="D317" s="13">
        <v>0.60187390000000007</v>
      </c>
    </row>
    <row r="318" spans="3:4">
      <c r="C318" s="13" t="s">
        <v>106</v>
      </c>
      <c r="D318" s="13">
        <v>0.52002650000000006</v>
      </c>
    </row>
    <row r="319" spans="3:4">
      <c r="C319" s="13" t="s">
        <v>107</v>
      </c>
      <c r="D319" s="13">
        <v>0.31749050000000001</v>
      </c>
    </row>
    <row r="320" spans="3:4">
      <c r="C320" s="13" t="s">
        <v>193</v>
      </c>
      <c r="D320" s="13">
        <v>0.53319550000000004</v>
      </c>
    </row>
    <row r="321" spans="3:4">
      <c r="C321" s="13" t="s">
        <v>108</v>
      </c>
      <c r="D321" s="13">
        <v>0.464337</v>
      </c>
    </row>
    <row r="322" spans="3:4">
      <c r="C322" s="13" t="s">
        <v>109</v>
      </c>
      <c r="D322" s="13">
        <v>0.64291679999999995</v>
      </c>
    </row>
    <row r="323" spans="3:4">
      <c r="C323" s="13" t="s">
        <v>110</v>
      </c>
      <c r="D323" s="13">
        <v>7.9160999999999995E-2</v>
      </c>
    </row>
    <row r="324" spans="3:4">
      <c r="C324" s="13" t="s">
        <v>111</v>
      </c>
      <c r="D324" s="13">
        <v>0.16738810000000001</v>
      </c>
    </row>
    <row r="325" spans="3:4">
      <c r="C325" s="13" t="s">
        <v>112</v>
      </c>
      <c r="D325" s="13">
        <v>0.69464970000000004</v>
      </c>
    </row>
    <row r="326" spans="3:4">
      <c r="C326" s="13" t="s">
        <v>113</v>
      </c>
      <c r="D326" s="13">
        <v>0.87882860000000007</v>
      </c>
    </row>
    <row r="327" spans="3:4">
      <c r="C327" s="13" t="s">
        <v>114</v>
      </c>
      <c r="D327" s="13">
        <v>0.13948199999999999</v>
      </c>
    </row>
    <row r="328" spans="3:4">
      <c r="C328" s="13" t="s">
        <v>115</v>
      </c>
      <c r="D328" s="13">
        <v>0.32604700000000003</v>
      </c>
    </row>
    <row r="329" spans="3:4">
      <c r="C329" s="13" t="s">
        <v>194</v>
      </c>
      <c r="D329" s="13">
        <v>0.61890590000000001</v>
      </c>
    </row>
    <row r="330" spans="3:4">
      <c r="C330" s="13" t="s">
        <v>116</v>
      </c>
      <c r="D330" s="13">
        <v>0.6553582</v>
      </c>
    </row>
    <row r="331" spans="3:4">
      <c r="C331" s="13" t="s">
        <v>117</v>
      </c>
      <c r="D331" s="13">
        <v>0.83408540000000009</v>
      </c>
    </row>
    <row r="332" spans="3:4">
      <c r="C332" s="13" t="s">
        <v>118</v>
      </c>
      <c r="D332" s="13">
        <v>0.54128500000000002</v>
      </c>
    </row>
    <row r="333" spans="3:4">
      <c r="C333" s="13" t="s">
        <v>141</v>
      </c>
      <c r="D333" s="13">
        <v>0.47556799999999999</v>
      </c>
    </row>
    <row r="334" spans="3:4">
      <c r="C334" s="13" t="s">
        <v>119</v>
      </c>
      <c r="D334" s="13">
        <v>0.52330999999999994</v>
      </c>
    </row>
    <row r="335" spans="3:4">
      <c r="C335" s="13" t="s">
        <v>120</v>
      </c>
      <c r="D335" s="13">
        <v>0.70790120000000001</v>
      </c>
    </row>
    <row r="336" spans="3:4">
      <c r="C336" s="13" t="s">
        <v>121</v>
      </c>
      <c r="D336" s="13">
        <v>1.0178000000000001E-3</v>
      </c>
    </row>
    <row r="337" spans="3:4">
      <c r="C337" s="13" t="s">
        <v>122</v>
      </c>
      <c r="D337" s="13">
        <v>0.3382211</v>
      </c>
    </row>
    <row r="338" spans="3:4">
      <c r="C338" s="13" t="s">
        <v>123</v>
      </c>
      <c r="D338" s="13">
        <v>7.5646900000000003E-2</v>
      </c>
    </row>
    <row r="339" spans="3:4">
      <c r="C339" s="13" t="s">
        <v>124</v>
      </c>
      <c r="D339" s="13">
        <v>3.7995999999999998E-3</v>
      </c>
    </row>
    <row r="340" spans="3:4">
      <c r="C340" s="13" t="s">
        <v>125</v>
      </c>
      <c r="D340" s="13">
        <v>0.39431499999999997</v>
      </c>
    </row>
    <row r="341" spans="3:4">
      <c r="C341" s="13" t="s">
        <v>126</v>
      </c>
      <c r="D341" s="13">
        <v>0.7170685</v>
      </c>
    </row>
    <row r="342" spans="3:4">
      <c r="C342" s="13" t="s">
        <v>127</v>
      </c>
      <c r="D342" s="13">
        <v>0.30910000000000004</v>
      </c>
    </row>
    <row r="343" spans="3:4">
      <c r="C343" s="13" t="s">
        <v>128</v>
      </c>
      <c r="D343" s="13">
        <v>0.54976369999999997</v>
      </c>
    </row>
    <row r="344" spans="3:4">
      <c r="C344" s="13" t="s">
        <v>129</v>
      </c>
      <c r="D344" s="13">
        <v>0.38613780000000003</v>
      </c>
    </row>
    <row r="345" spans="3:4">
      <c r="C345" s="13" t="s">
        <v>130</v>
      </c>
      <c r="D345" s="13">
        <v>6.8669999999999998E-3</v>
      </c>
    </row>
    <row r="346" spans="3:4">
      <c r="C346" s="13" t="s">
        <v>131</v>
      </c>
      <c r="D346" s="13">
        <v>0.85611270000000006</v>
      </c>
    </row>
    <row r="347" spans="3:4">
      <c r="C347" s="13" t="s">
        <v>132</v>
      </c>
      <c r="D347" s="13">
        <v>0.41280820000000001</v>
      </c>
    </row>
    <row r="348" spans="3:4">
      <c r="C348" s="13" t="s">
        <v>133</v>
      </c>
      <c r="D348" s="13">
        <v>0.22884389999999999</v>
      </c>
    </row>
    <row r="349" spans="3:4">
      <c r="C349" s="13" t="s">
        <v>134</v>
      </c>
      <c r="D349" s="13">
        <v>0</v>
      </c>
    </row>
    <row r="350" spans="3:4">
      <c r="C350" s="13" t="s">
        <v>136</v>
      </c>
      <c r="D350" s="13">
        <v>0.17232349999999999</v>
      </c>
    </row>
    <row r="351" spans="3:4">
      <c r="C351" s="13" t="s">
        <v>137</v>
      </c>
      <c r="D351" s="13">
        <v>0.43500610000000001</v>
      </c>
    </row>
    <row r="352" spans="3:4">
      <c r="C352" s="13" t="s">
        <v>138</v>
      </c>
      <c r="D352" s="13">
        <v>0.65864999999999996</v>
      </c>
    </row>
    <row r="353" spans="3:4">
      <c r="C353" s="13" t="s">
        <v>139</v>
      </c>
      <c r="D353" s="13">
        <v>0.41642399999999996</v>
      </c>
    </row>
    <row r="354" spans="3:4">
      <c r="C354" s="13" t="s">
        <v>140</v>
      </c>
      <c r="D354" s="13">
        <v>0.62571410000000005</v>
      </c>
    </row>
    <row r="355" spans="3:4">
      <c r="C355" s="13" t="s">
        <v>142</v>
      </c>
      <c r="D355" s="13">
        <v>0.42860500000000001</v>
      </c>
    </row>
    <row r="356" spans="3:4">
      <c r="C356" s="13" t="s">
        <v>143</v>
      </c>
      <c r="D356" s="13">
        <v>0.32856540000000001</v>
      </c>
    </row>
    <row r="357" spans="3:4">
      <c r="C357" s="13" t="s">
        <v>144</v>
      </c>
      <c r="D357" s="13">
        <v>0.75537339999999997</v>
      </c>
    </row>
    <row r="358" spans="3:4">
      <c r="C358" s="13" t="s">
        <v>145</v>
      </c>
      <c r="D358" s="13">
        <v>0.72589490000000001</v>
      </c>
    </row>
    <row r="359" spans="3:4">
      <c r="C359" s="13" t="s">
        <v>146</v>
      </c>
      <c r="D359" s="13">
        <v>0.71559110000000004</v>
      </c>
    </row>
    <row r="360" spans="3:4">
      <c r="C360" s="13" t="s">
        <v>147</v>
      </c>
      <c r="D360" s="13">
        <v>0.53605859999999994</v>
      </c>
    </row>
    <row r="361" spans="3:4">
      <c r="C361" s="13" t="s">
        <v>148</v>
      </c>
      <c r="D361" s="13">
        <v>0.223412</v>
      </c>
    </row>
    <row r="362" spans="3:4">
      <c r="C362" s="13" t="s">
        <v>195</v>
      </c>
      <c r="D362" s="13">
        <v>0.33175889999999997</v>
      </c>
    </row>
    <row r="363" spans="3:4">
      <c r="C363" s="13" t="s">
        <v>150</v>
      </c>
      <c r="D363" s="13">
        <v>0.86899959999999998</v>
      </c>
    </row>
    <row r="364" spans="3:4">
      <c r="C364" s="13" t="s">
        <v>151</v>
      </c>
      <c r="D364" s="13">
        <v>0.34979399999999999</v>
      </c>
    </row>
    <row r="365" spans="3:4">
      <c r="C365" s="13" t="s">
        <v>152</v>
      </c>
      <c r="D365" s="13">
        <v>0.31372440000000001</v>
      </c>
    </row>
    <row r="366" spans="3:4">
      <c r="C366" s="13" t="s">
        <v>153</v>
      </c>
      <c r="D366" s="13">
        <v>0.61391830000000003</v>
      </c>
    </row>
    <row r="367" spans="3:4">
      <c r="C367" s="13" t="s">
        <v>154</v>
      </c>
      <c r="D367" s="13">
        <v>4.7966000000000002E-2</v>
      </c>
    </row>
    <row r="368" spans="3:4">
      <c r="C368" s="13" t="s">
        <v>155</v>
      </c>
      <c r="D368" s="13">
        <v>2.5722999999999999E-2</v>
      </c>
    </row>
    <row r="369" spans="3:4">
      <c r="C369" s="13" t="s">
        <v>156</v>
      </c>
      <c r="D369" s="13">
        <v>0.60439919999999991</v>
      </c>
    </row>
    <row r="370" spans="3:4">
      <c r="C370" s="13" t="s">
        <v>157</v>
      </c>
      <c r="D370" s="13">
        <v>2.8018299999999999E-2</v>
      </c>
    </row>
    <row r="371" spans="3:4">
      <c r="C371" s="13" t="s">
        <v>167</v>
      </c>
      <c r="D371" s="13">
        <v>0.31551220000000002</v>
      </c>
    </row>
    <row r="372" spans="3:4">
      <c r="C372" s="13" t="s">
        <v>158</v>
      </c>
      <c r="D372" s="13">
        <v>0.5109283</v>
      </c>
    </row>
    <row r="373" spans="3:4">
      <c r="C373" s="13" t="s">
        <v>159</v>
      </c>
      <c r="D373" s="13">
        <v>0.45866969999999996</v>
      </c>
    </row>
    <row r="374" spans="3:4">
      <c r="C374" s="13" t="s">
        <v>160</v>
      </c>
      <c r="D374" s="13">
        <v>0.7243096</v>
      </c>
    </row>
    <row r="375" spans="3:4">
      <c r="C375" s="13" t="s">
        <v>161</v>
      </c>
      <c r="D375" s="13">
        <v>0.54585859999999997</v>
      </c>
    </row>
    <row r="376" spans="3:4">
      <c r="C376" s="13" t="s">
        <v>162</v>
      </c>
      <c r="D376" s="13">
        <v>0.438222</v>
      </c>
    </row>
    <row r="377" spans="3:4">
      <c r="C377" s="13" t="s">
        <v>163</v>
      </c>
      <c r="D377" s="13">
        <v>0.79513040000000001</v>
      </c>
    </row>
    <row r="378" spans="3:4">
      <c r="C378" s="13" t="s">
        <v>164</v>
      </c>
      <c r="D378" s="13">
        <v>0.34432879999999999</v>
      </c>
    </row>
    <row r="379" spans="3:4">
      <c r="C379" s="13" t="s">
        <v>165</v>
      </c>
      <c r="D379" s="13">
        <v>0.81998559999999998</v>
      </c>
    </row>
    <row r="380" spans="3:4">
      <c r="C380" s="13" t="s">
        <v>166</v>
      </c>
      <c r="D380" s="13">
        <v>0.50473299999999999</v>
      </c>
    </row>
    <row r="381" spans="3:4">
      <c r="C381" s="13" t="s">
        <v>168</v>
      </c>
      <c r="D381" s="13">
        <v>0.55865999999999993</v>
      </c>
    </row>
    <row r="382" spans="3:4">
      <c r="C382" s="13" t="s">
        <v>169</v>
      </c>
      <c r="D382" s="13">
        <v>0.2963499</v>
      </c>
    </row>
    <row r="383" spans="3:4">
      <c r="C383" s="13" t="s">
        <v>170</v>
      </c>
      <c r="D383" s="13">
        <v>0.44636000000000003</v>
      </c>
    </row>
    <row r="384" spans="3:4">
      <c r="C384" s="13" t="s">
        <v>171</v>
      </c>
      <c r="D384" s="13">
        <v>0.20844220000000002</v>
      </c>
    </row>
    <row r="385" spans="3:18">
      <c r="C385" s="13" t="s">
        <v>172</v>
      </c>
      <c r="D385" s="13">
        <v>0.39631379999999999</v>
      </c>
    </row>
    <row r="386" spans="3:18">
      <c r="C386" s="13" t="s">
        <v>173</v>
      </c>
      <c r="D386" s="13">
        <v>0.82303110000000002</v>
      </c>
    </row>
    <row r="387" spans="3:18">
      <c r="C387" s="13" t="s">
        <v>174</v>
      </c>
      <c r="D387" s="13">
        <v>6.7573999999999993E-3</v>
      </c>
    </row>
    <row r="388" spans="3:18">
      <c r="C388" s="13" t="s">
        <v>175</v>
      </c>
      <c r="D388" s="13">
        <v>0.57276890000000003</v>
      </c>
    </row>
    <row r="389" spans="3:18">
      <c r="C389" s="13" t="s">
        <v>176</v>
      </c>
      <c r="D389" s="13">
        <v>0.48861130000000003</v>
      </c>
    </row>
    <row r="390" spans="3:18">
      <c r="C390" s="13" t="s">
        <v>178</v>
      </c>
      <c r="D390" s="13">
        <v>0.50899280000000002</v>
      </c>
    </row>
    <row r="391" spans="3:18">
      <c r="C391" s="13" t="s">
        <v>177</v>
      </c>
      <c r="D391" s="13">
        <v>0.3078166</v>
      </c>
    </row>
    <row r="392" spans="3:18" s="31" customFormat="1">
      <c r="D392" s="214"/>
      <c r="E392" s="208"/>
      <c r="F392" s="230"/>
      <c r="G392" s="230"/>
      <c r="H392" s="230"/>
      <c r="I392" s="230"/>
      <c r="J392" s="230"/>
      <c r="K392" s="230"/>
      <c r="L392" s="230"/>
      <c r="M392" s="230"/>
      <c r="N392" s="230"/>
      <c r="O392" s="230"/>
      <c r="P392" s="230"/>
      <c r="Q392" s="230"/>
      <c r="R392" s="230"/>
    </row>
    <row r="393" spans="3:18" s="31" customFormat="1">
      <c r="D393" s="214"/>
      <c r="E393" s="208"/>
      <c r="F393" s="230"/>
      <c r="G393" s="230"/>
      <c r="H393" s="230"/>
      <c r="I393" s="230"/>
      <c r="J393" s="230"/>
      <c r="K393" s="230"/>
      <c r="L393" s="230"/>
      <c r="M393" s="230"/>
      <c r="N393" s="230"/>
      <c r="O393" s="230"/>
      <c r="P393" s="230"/>
      <c r="Q393" s="230"/>
      <c r="R393" s="230"/>
    </row>
    <row r="394" spans="3:18" s="31" customFormat="1">
      <c r="D394" s="214"/>
      <c r="E394" s="208"/>
      <c r="F394" s="230"/>
      <c r="G394" s="230"/>
      <c r="H394" s="230"/>
      <c r="I394" s="230"/>
      <c r="J394" s="230"/>
      <c r="K394" s="230"/>
      <c r="L394" s="230"/>
      <c r="M394" s="230"/>
      <c r="N394" s="230"/>
      <c r="O394" s="230"/>
      <c r="P394" s="230"/>
      <c r="Q394" s="230"/>
      <c r="R394" s="230"/>
    </row>
    <row r="395" spans="3:18" s="31" customFormat="1">
      <c r="E395" s="208"/>
      <c r="F395" s="230"/>
      <c r="G395" s="230"/>
      <c r="H395" s="230"/>
      <c r="I395" s="230"/>
      <c r="J395" s="230"/>
      <c r="K395" s="230"/>
      <c r="L395" s="230"/>
      <c r="M395" s="230"/>
      <c r="N395" s="230"/>
      <c r="O395" s="230"/>
      <c r="P395" s="230"/>
      <c r="Q395" s="230"/>
      <c r="R395" s="230"/>
    </row>
    <row r="396" spans="3:18" s="31" customFormat="1" ht="15">
      <c r="C396" s="223"/>
      <c r="D396" s="214"/>
      <c r="E396" s="208"/>
      <c r="F396" s="222"/>
      <c r="G396" s="222"/>
      <c r="H396" s="222"/>
      <c r="I396" s="222"/>
      <c r="J396" s="222"/>
      <c r="K396" s="222"/>
      <c r="L396" s="222"/>
      <c r="M396" s="222"/>
      <c r="N396" s="222"/>
      <c r="O396" s="222"/>
      <c r="P396" s="222"/>
      <c r="Q396" s="222"/>
      <c r="R396" s="222"/>
    </row>
    <row r="397" spans="3:18" s="31" customFormat="1">
      <c r="D397" s="214"/>
      <c r="E397" s="208"/>
      <c r="F397" s="230"/>
      <c r="G397" s="230"/>
      <c r="H397" s="230"/>
      <c r="I397" s="230"/>
      <c r="J397" s="230"/>
      <c r="K397" s="230"/>
      <c r="L397" s="230"/>
      <c r="M397" s="230"/>
      <c r="N397" s="230"/>
      <c r="O397" s="230"/>
      <c r="P397" s="230"/>
      <c r="Q397" s="230"/>
      <c r="R397" s="230"/>
    </row>
    <row r="398" spans="3:18" s="31" customFormat="1">
      <c r="D398" s="214"/>
      <c r="E398" s="208"/>
      <c r="F398" s="230"/>
      <c r="G398" s="230"/>
      <c r="H398" s="230"/>
      <c r="I398" s="230"/>
      <c r="J398" s="230"/>
      <c r="K398" s="230"/>
      <c r="L398" s="230"/>
      <c r="M398" s="230"/>
      <c r="N398" s="230"/>
      <c r="O398" s="230"/>
      <c r="P398" s="230"/>
      <c r="Q398" s="230"/>
      <c r="R398" s="230"/>
    </row>
    <row r="399" spans="3:18" s="31" customFormat="1">
      <c r="D399" s="214"/>
      <c r="E399" s="208"/>
      <c r="F399" s="230"/>
      <c r="G399" s="230"/>
      <c r="H399" s="230"/>
      <c r="I399" s="230"/>
      <c r="J399" s="230"/>
      <c r="K399" s="230"/>
      <c r="L399" s="230"/>
      <c r="M399" s="230"/>
      <c r="N399" s="230"/>
      <c r="O399" s="230"/>
      <c r="P399" s="230"/>
      <c r="Q399" s="230"/>
      <c r="R399" s="230"/>
    </row>
    <row r="400" spans="3:18" s="31" customFormat="1">
      <c r="D400" s="214"/>
      <c r="E400" s="208"/>
      <c r="F400" s="230"/>
      <c r="G400" s="230"/>
      <c r="H400" s="230"/>
      <c r="I400" s="230"/>
      <c r="J400" s="230"/>
      <c r="K400" s="230"/>
      <c r="L400" s="230"/>
      <c r="M400" s="230"/>
      <c r="N400" s="230"/>
      <c r="O400" s="230"/>
      <c r="P400" s="230"/>
      <c r="Q400" s="230"/>
      <c r="R400" s="230"/>
    </row>
    <row r="401" spans="3:18" s="31" customFormat="1">
      <c r="D401" s="214"/>
      <c r="E401" s="208"/>
      <c r="F401" s="230"/>
      <c r="G401" s="230"/>
      <c r="H401" s="230"/>
      <c r="I401" s="230"/>
      <c r="J401" s="230"/>
      <c r="K401" s="230"/>
      <c r="L401" s="230"/>
      <c r="M401" s="230"/>
      <c r="N401" s="230"/>
      <c r="O401" s="230"/>
      <c r="P401" s="230"/>
      <c r="Q401" s="230"/>
      <c r="R401" s="230"/>
    </row>
    <row r="402" spans="3:18" s="31" customFormat="1">
      <c r="E402" s="208"/>
      <c r="F402" s="230"/>
      <c r="G402" s="230"/>
      <c r="H402" s="230"/>
      <c r="I402" s="230"/>
      <c r="J402" s="230"/>
      <c r="K402" s="230"/>
      <c r="L402" s="230"/>
      <c r="M402" s="230"/>
      <c r="N402" s="230"/>
      <c r="O402" s="230"/>
      <c r="P402" s="230"/>
      <c r="Q402" s="230"/>
      <c r="R402" s="230"/>
    </row>
    <row r="403" spans="3:18" s="31" customFormat="1" ht="15">
      <c r="C403" s="223"/>
      <c r="D403" s="214"/>
      <c r="E403" s="208"/>
      <c r="F403" s="222"/>
      <c r="G403" s="222"/>
      <c r="H403" s="222"/>
      <c r="I403" s="222"/>
      <c r="J403" s="222"/>
      <c r="K403" s="222"/>
      <c r="L403" s="222"/>
      <c r="M403" s="222"/>
      <c r="N403" s="222"/>
      <c r="O403" s="222"/>
      <c r="P403" s="222"/>
      <c r="Q403" s="222"/>
      <c r="R403" s="222"/>
    </row>
    <row r="404" spans="3:18" s="31" customFormat="1">
      <c r="D404" s="214"/>
      <c r="E404" s="208"/>
      <c r="F404" s="230"/>
      <c r="G404" s="230"/>
      <c r="H404" s="230"/>
      <c r="I404" s="230"/>
      <c r="J404" s="230"/>
      <c r="K404" s="230"/>
      <c r="L404" s="230"/>
      <c r="M404" s="230"/>
      <c r="N404" s="222"/>
      <c r="O404" s="222"/>
      <c r="P404" s="222"/>
      <c r="Q404" s="222"/>
      <c r="R404" s="222"/>
    </row>
    <row r="405" spans="3:18" s="31" customFormat="1">
      <c r="D405" s="214"/>
      <c r="E405" s="208"/>
      <c r="F405" s="230"/>
      <c r="G405" s="230"/>
      <c r="H405" s="230"/>
      <c r="I405" s="230"/>
      <c r="J405" s="230"/>
      <c r="K405" s="230"/>
      <c r="L405" s="230"/>
      <c r="M405" s="230"/>
      <c r="N405" s="222"/>
      <c r="O405" s="222"/>
      <c r="P405" s="222"/>
      <c r="Q405" s="222"/>
      <c r="R405" s="222"/>
    </row>
    <row r="406" spans="3:18" s="31" customFormat="1">
      <c r="D406" s="214"/>
      <c r="E406" s="208"/>
      <c r="F406" s="230"/>
      <c r="G406" s="230"/>
      <c r="H406" s="230"/>
      <c r="I406" s="230"/>
      <c r="J406" s="230"/>
      <c r="K406" s="230"/>
      <c r="L406" s="230"/>
      <c r="M406" s="230"/>
      <c r="N406" s="222"/>
      <c r="O406" s="222"/>
      <c r="P406" s="222"/>
      <c r="Q406" s="222"/>
      <c r="R406" s="222"/>
    </row>
    <row r="407" spans="3:18" s="31" customFormat="1">
      <c r="D407" s="214"/>
      <c r="E407" s="208"/>
      <c r="F407" s="230"/>
      <c r="G407" s="230"/>
      <c r="H407" s="230"/>
      <c r="I407" s="230"/>
      <c r="J407" s="230"/>
      <c r="K407" s="230"/>
      <c r="L407" s="230"/>
      <c r="M407" s="230"/>
      <c r="N407" s="222"/>
      <c r="O407" s="222"/>
      <c r="P407" s="222"/>
      <c r="Q407" s="222"/>
      <c r="R407" s="222"/>
    </row>
    <row r="408" spans="3:18" s="31" customFormat="1">
      <c r="E408" s="208"/>
      <c r="F408" s="230"/>
      <c r="G408" s="230"/>
      <c r="H408" s="230"/>
      <c r="I408" s="230"/>
      <c r="J408" s="230"/>
      <c r="K408" s="230"/>
      <c r="L408" s="230"/>
      <c r="M408" s="230"/>
      <c r="N408" s="222"/>
      <c r="O408" s="222"/>
      <c r="P408" s="222"/>
      <c r="Q408" s="222"/>
      <c r="R408" s="222"/>
    </row>
    <row r="409" spans="3:18" s="31" customFormat="1" ht="15">
      <c r="C409" s="223"/>
      <c r="D409" s="214"/>
      <c r="E409" s="208"/>
      <c r="F409" s="222"/>
      <c r="G409" s="222"/>
      <c r="H409" s="222"/>
      <c r="I409" s="222"/>
      <c r="J409" s="222"/>
      <c r="K409" s="222"/>
      <c r="L409" s="222"/>
      <c r="M409" s="222"/>
      <c r="N409" s="222"/>
      <c r="O409" s="222"/>
      <c r="P409" s="222"/>
      <c r="Q409" s="222"/>
      <c r="R409" s="222"/>
    </row>
    <row r="410" spans="3:18" s="31" customFormat="1">
      <c r="D410" s="214"/>
      <c r="E410" s="208"/>
      <c r="F410" s="230"/>
      <c r="G410" s="230"/>
      <c r="H410" s="230"/>
      <c r="I410" s="230"/>
      <c r="J410" s="230"/>
      <c r="K410" s="230"/>
      <c r="L410" s="230"/>
      <c r="M410" s="230"/>
      <c r="N410" s="222"/>
      <c r="O410" s="222"/>
      <c r="P410" s="222"/>
      <c r="Q410" s="222"/>
      <c r="R410" s="222"/>
    </row>
    <row r="411" spans="3:18" s="31" customFormat="1">
      <c r="D411" s="214"/>
      <c r="E411" s="208"/>
      <c r="F411" s="230"/>
      <c r="G411" s="230"/>
      <c r="H411" s="230"/>
      <c r="I411" s="230"/>
      <c r="J411" s="230"/>
      <c r="K411" s="230"/>
      <c r="L411" s="230"/>
      <c r="M411" s="230"/>
      <c r="N411" s="222"/>
      <c r="O411" s="222"/>
      <c r="P411" s="222"/>
      <c r="Q411" s="222"/>
      <c r="R411" s="222"/>
    </row>
    <row r="412" spans="3:18" s="31" customFormat="1">
      <c r="E412" s="208"/>
      <c r="F412" s="230"/>
      <c r="G412" s="230"/>
      <c r="H412" s="230"/>
      <c r="I412" s="230"/>
      <c r="J412" s="230"/>
      <c r="K412" s="230"/>
      <c r="L412" s="230"/>
      <c r="M412" s="230"/>
      <c r="N412" s="230"/>
      <c r="O412" s="230"/>
      <c r="P412" s="230"/>
      <c r="Q412" s="230"/>
      <c r="R412" s="230"/>
    </row>
    <row r="413" spans="3:18" s="31" customFormat="1" ht="15">
      <c r="C413" s="223"/>
      <c r="D413" s="214"/>
      <c r="E413" s="208"/>
      <c r="F413" s="222"/>
      <c r="G413" s="222"/>
      <c r="H413" s="222"/>
      <c r="I413" s="222"/>
      <c r="J413" s="222"/>
      <c r="K413" s="222"/>
      <c r="L413" s="222"/>
      <c r="M413" s="222"/>
      <c r="N413" s="222"/>
      <c r="O413" s="222"/>
      <c r="P413" s="222"/>
      <c r="Q413" s="222"/>
      <c r="R413" s="222"/>
    </row>
    <row r="414" spans="3:18" s="31" customFormat="1">
      <c r="E414" s="208"/>
      <c r="F414" s="230"/>
      <c r="G414" s="230"/>
      <c r="H414" s="230"/>
      <c r="I414" s="230"/>
      <c r="J414" s="230"/>
      <c r="K414" s="230"/>
      <c r="L414" s="230"/>
      <c r="M414" s="230"/>
      <c r="N414" s="230"/>
      <c r="O414" s="230"/>
      <c r="P414" s="230"/>
      <c r="Q414" s="230"/>
      <c r="R414" s="230"/>
    </row>
    <row r="415" spans="3:18" s="31" customFormat="1" ht="15">
      <c r="C415" s="223"/>
      <c r="D415" s="214"/>
      <c r="E415" s="208"/>
      <c r="F415" s="222"/>
      <c r="G415" s="222"/>
      <c r="H415" s="222"/>
      <c r="I415" s="222"/>
      <c r="J415" s="222"/>
      <c r="K415" s="222"/>
      <c r="L415" s="222"/>
      <c r="M415" s="222"/>
      <c r="N415" s="222"/>
      <c r="O415" s="222"/>
      <c r="P415" s="222"/>
      <c r="Q415" s="222"/>
      <c r="R415" s="222"/>
    </row>
    <row r="416" spans="3:18" s="31" customFormat="1">
      <c r="D416" s="214"/>
      <c r="E416" s="208"/>
      <c r="F416" s="230"/>
      <c r="G416" s="230"/>
      <c r="H416" s="230"/>
      <c r="I416" s="230"/>
      <c r="J416" s="230"/>
      <c r="K416" s="230"/>
      <c r="L416" s="230"/>
      <c r="M416" s="230"/>
      <c r="N416" s="222"/>
      <c r="O416" s="222"/>
      <c r="P416" s="222"/>
      <c r="Q416" s="222"/>
      <c r="R416" s="222"/>
    </row>
    <row r="417" spans="3:54" s="31" customFormat="1">
      <c r="E417" s="208"/>
      <c r="F417" s="230"/>
      <c r="G417" s="230"/>
      <c r="H417" s="230"/>
      <c r="I417" s="230"/>
      <c r="J417" s="230"/>
      <c r="K417" s="230"/>
      <c r="L417" s="230"/>
      <c r="M417" s="230"/>
      <c r="N417" s="222"/>
      <c r="O417" s="222"/>
      <c r="P417" s="222"/>
      <c r="Q417" s="222"/>
      <c r="R417" s="222"/>
    </row>
    <row r="418" spans="3:54" s="31" customFormat="1">
      <c r="E418" s="199"/>
    </row>
    <row r="419" spans="3:54" s="31" customFormat="1" ht="15">
      <c r="D419" s="231"/>
      <c r="E419" s="199"/>
    </row>
    <row r="420" spans="3:54" s="231" customFormat="1" ht="15.75">
      <c r="C420" s="232"/>
      <c r="D420" s="31"/>
      <c r="E420" s="228"/>
    </row>
    <row r="421" spans="3:54" s="31" customFormat="1">
      <c r="C421" s="233"/>
      <c r="D421" s="229"/>
      <c r="E421" s="199"/>
    </row>
    <row r="422" spans="3:54" s="31" customFormat="1">
      <c r="C422" s="229"/>
      <c r="E422" s="228"/>
      <c r="F422" s="229"/>
      <c r="G422" s="229"/>
      <c r="H422" s="229"/>
      <c r="I422" s="229"/>
      <c r="J422" s="229"/>
      <c r="K422" s="229"/>
      <c r="L422" s="229"/>
      <c r="M422" s="229"/>
      <c r="N422" s="229"/>
      <c r="O422" s="229"/>
      <c r="P422" s="229"/>
      <c r="Q422" s="229"/>
      <c r="R422" s="229"/>
      <c r="S422" s="229"/>
      <c r="T422" s="229"/>
      <c r="U422" s="229"/>
      <c r="V422" s="229"/>
      <c r="W422" s="229"/>
      <c r="X422" s="229"/>
      <c r="Y422" s="229"/>
      <c r="Z422" s="229"/>
      <c r="AA422" s="229"/>
      <c r="AB422" s="229"/>
      <c r="AC422" s="229"/>
      <c r="AD422" s="229"/>
      <c r="AE422" s="229"/>
      <c r="AF422" s="229"/>
      <c r="AG422" s="229"/>
      <c r="AH422" s="229"/>
      <c r="AI422" s="229"/>
      <c r="AJ422" s="229"/>
      <c r="AK422" s="229"/>
      <c r="AL422" s="229"/>
      <c r="AM422" s="229"/>
      <c r="AN422" s="229"/>
      <c r="AO422" s="229"/>
      <c r="AP422" s="229"/>
      <c r="AQ422" s="229"/>
      <c r="AR422" s="229"/>
      <c r="AS422" s="229"/>
      <c r="AT422" s="229"/>
      <c r="AU422" s="229"/>
      <c r="AV422" s="229"/>
      <c r="AW422" s="229"/>
      <c r="AX422" s="229"/>
      <c r="AY422" s="229"/>
      <c r="AZ422" s="229"/>
      <c r="BA422" s="229"/>
      <c r="BB422" s="229"/>
    </row>
    <row r="423" spans="3:54" s="31" customFormat="1">
      <c r="E423" s="199"/>
    </row>
    <row r="424" spans="3:54" s="31" customFormat="1">
      <c r="E424" s="199"/>
    </row>
    <row r="425" spans="3:54" s="31" customFormat="1">
      <c r="E425" s="199"/>
    </row>
    <row r="426" spans="3:54" s="31" customFormat="1">
      <c r="E426" s="199"/>
    </row>
    <row r="427" spans="3:54" s="31" customFormat="1">
      <c r="E427" s="199"/>
    </row>
    <row r="428" spans="3:54" s="31" customFormat="1">
      <c r="E428" s="199"/>
    </row>
    <row r="429" spans="3:54" s="31" customFormat="1">
      <c r="E429" s="199"/>
    </row>
    <row r="430" spans="3:54" s="31" customFormat="1">
      <c r="E430" s="199"/>
    </row>
    <row r="431" spans="3:54" s="31" customFormat="1">
      <c r="E431" s="199"/>
    </row>
    <row r="432" spans="3:54" s="31" customFormat="1">
      <c r="E432" s="199"/>
    </row>
    <row r="433" spans="5:5" s="31" customFormat="1">
      <c r="E433" s="199"/>
    </row>
    <row r="434" spans="5:5" s="31" customFormat="1">
      <c r="E434" s="199"/>
    </row>
    <row r="435" spans="5:5" s="31" customFormat="1">
      <c r="E435" s="199"/>
    </row>
    <row r="436" spans="5:5" s="31" customFormat="1">
      <c r="E436" s="199"/>
    </row>
    <row r="437" spans="5:5" s="31" customFormat="1">
      <c r="E437" s="199"/>
    </row>
    <row r="438" spans="5:5" s="31" customFormat="1">
      <c r="E438" s="199"/>
    </row>
    <row r="439" spans="5:5" s="31" customFormat="1">
      <c r="E439" s="199"/>
    </row>
    <row r="440" spans="5:5" s="31" customFormat="1">
      <c r="E440" s="199"/>
    </row>
    <row r="441" spans="5:5" s="31" customFormat="1">
      <c r="E441" s="199"/>
    </row>
    <row r="442" spans="5:5" s="31" customFormat="1">
      <c r="E442" s="199"/>
    </row>
    <row r="443" spans="5:5" s="31" customFormat="1">
      <c r="E443" s="199"/>
    </row>
    <row r="444" spans="5:5" s="31" customFormat="1">
      <c r="E444" s="199"/>
    </row>
    <row r="445" spans="5:5" s="31" customFormat="1">
      <c r="E445" s="199"/>
    </row>
    <row r="446" spans="5:5" s="31" customFormat="1">
      <c r="E446" s="199"/>
    </row>
    <row r="447" spans="5:5" s="31" customFormat="1">
      <c r="E447" s="199"/>
    </row>
    <row r="448" spans="5:5" s="31" customFormat="1">
      <c r="E448" s="199"/>
    </row>
    <row r="449" spans="5:5" s="31" customFormat="1">
      <c r="E449" s="199"/>
    </row>
    <row r="450" spans="5:5" s="31" customFormat="1">
      <c r="E450" s="199"/>
    </row>
    <row r="451" spans="5:5" s="31" customFormat="1">
      <c r="E451" s="199"/>
    </row>
    <row r="452" spans="5:5" s="31" customFormat="1">
      <c r="E452" s="199"/>
    </row>
    <row r="453" spans="5:5" s="31" customFormat="1">
      <c r="E453" s="199"/>
    </row>
    <row r="454" spans="5:5" s="31" customFormat="1">
      <c r="E454" s="199"/>
    </row>
    <row r="455" spans="5:5" s="31" customFormat="1">
      <c r="E455" s="199"/>
    </row>
    <row r="456" spans="5:5" s="31" customFormat="1">
      <c r="E456" s="199"/>
    </row>
    <row r="457" spans="5:5" s="31" customFormat="1">
      <c r="E457" s="199"/>
    </row>
    <row r="458" spans="5:5" s="31" customFormat="1">
      <c r="E458" s="199"/>
    </row>
    <row r="459" spans="5:5" s="31" customFormat="1">
      <c r="E459" s="199"/>
    </row>
    <row r="460" spans="5:5" s="31" customFormat="1">
      <c r="E460" s="199"/>
    </row>
    <row r="461" spans="5:5" s="31" customFormat="1">
      <c r="E461" s="199"/>
    </row>
    <row r="462" spans="5:5" s="31" customFormat="1">
      <c r="E462" s="199"/>
    </row>
    <row r="463" spans="5:5" s="31" customFormat="1">
      <c r="E463" s="199"/>
    </row>
    <row r="464" spans="5:5" s="31" customFormat="1">
      <c r="E464" s="199"/>
    </row>
    <row r="465" spans="5:5" s="31" customFormat="1">
      <c r="E465" s="199"/>
    </row>
    <row r="466" spans="5:5" s="31" customFormat="1">
      <c r="E466" s="199"/>
    </row>
    <row r="467" spans="5:5" s="31" customFormat="1">
      <c r="E467" s="199"/>
    </row>
    <row r="468" spans="5:5" s="31" customFormat="1">
      <c r="E468" s="199"/>
    </row>
    <row r="469" spans="5:5" s="31" customFormat="1">
      <c r="E469" s="199"/>
    </row>
    <row r="470" spans="5:5" s="31" customFormat="1">
      <c r="E470" s="199"/>
    </row>
    <row r="471" spans="5:5" s="31" customFormat="1">
      <c r="E471" s="199"/>
    </row>
    <row r="472" spans="5:5" s="31" customFormat="1">
      <c r="E472" s="199"/>
    </row>
    <row r="473" spans="5:5" s="31" customFormat="1">
      <c r="E473" s="199"/>
    </row>
    <row r="474" spans="5:5" s="31" customFormat="1">
      <c r="E474" s="199"/>
    </row>
    <row r="475" spans="5:5" s="31" customFormat="1">
      <c r="E475" s="199"/>
    </row>
    <row r="476" spans="5:5" s="31" customFormat="1">
      <c r="E476" s="199"/>
    </row>
    <row r="477" spans="5:5" s="31" customFormat="1">
      <c r="E477" s="199"/>
    </row>
    <row r="478" spans="5:5" s="31" customFormat="1">
      <c r="E478" s="199"/>
    </row>
    <row r="479" spans="5:5" s="31" customFormat="1">
      <c r="E479" s="199"/>
    </row>
    <row r="480" spans="5:5" s="31" customFormat="1">
      <c r="E480" s="199"/>
    </row>
    <row r="481" spans="5:5" s="31" customFormat="1">
      <c r="E481" s="199"/>
    </row>
    <row r="482" spans="5:5" s="31" customFormat="1">
      <c r="E482" s="199"/>
    </row>
    <row r="483" spans="5:5" s="31" customFormat="1">
      <c r="E483" s="199"/>
    </row>
    <row r="484" spans="5:5" s="31" customFormat="1">
      <c r="E484" s="199"/>
    </row>
    <row r="485" spans="5:5" s="31" customFormat="1">
      <c r="E485" s="199"/>
    </row>
    <row r="486" spans="5:5" s="31" customFormat="1">
      <c r="E486" s="199"/>
    </row>
    <row r="487" spans="5:5" s="31" customFormat="1">
      <c r="E487" s="199"/>
    </row>
    <row r="488" spans="5:5" s="31" customFormat="1">
      <c r="E488" s="199"/>
    </row>
    <row r="489" spans="5:5" s="31" customFormat="1">
      <c r="E489" s="199"/>
    </row>
    <row r="490" spans="5:5" s="31" customFormat="1">
      <c r="E490" s="199"/>
    </row>
    <row r="491" spans="5:5" s="31" customFormat="1">
      <c r="E491" s="199"/>
    </row>
    <row r="492" spans="5:5" s="31" customFormat="1">
      <c r="E492" s="199"/>
    </row>
    <row r="493" spans="5:5" s="31" customFormat="1">
      <c r="E493" s="199"/>
    </row>
    <row r="494" spans="5:5" s="31" customFormat="1">
      <c r="E494" s="199"/>
    </row>
    <row r="495" spans="5:5" s="31" customFormat="1">
      <c r="E495" s="199"/>
    </row>
    <row r="496" spans="5:5" s="31" customFormat="1">
      <c r="E496" s="199"/>
    </row>
    <row r="497" spans="5:5" s="31" customFormat="1">
      <c r="E497" s="199"/>
    </row>
    <row r="498" spans="5:5" s="31" customFormat="1">
      <c r="E498" s="199"/>
    </row>
    <row r="499" spans="5:5" s="31" customFormat="1">
      <c r="E499" s="199"/>
    </row>
    <row r="500" spans="5:5" s="31" customFormat="1">
      <c r="E500" s="199"/>
    </row>
    <row r="501" spans="5:5" s="31" customFormat="1">
      <c r="E501" s="199"/>
    </row>
    <row r="502" spans="5:5" s="31" customFormat="1">
      <c r="E502" s="199"/>
    </row>
    <row r="503" spans="5:5" s="31" customFormat="1">
      <c r="E503" s="199"/>
    </row>
    <row r="504" spans="5:5" s="31" customFormat="1">
      <c r="E504" s="199"/>
    </row>
    <row r="505" spans="5:5" s="31" customFormat="1">
      <c r="E505" s="199"/>
    </row>
    <row r="506" spans="5:5" s="31" customFormat="1">
      <c r="E506" s="199"/>
    </row>
    <row r="507" spans="5:5" s="31" customFormat="1">
      <c r="E507" s="199"/>
    </row>
    <row r="508" spans="5:5" s="31" customFormat="1">
      <c r="E508" s="199"/>
    </row>
    <row r="509" spans="5:5" s="31" customFormat="1">
      <c r="E509" s="199"/>
    </row>
    <row r="510" spans="5:5" s="31" customFormat="1">
      <c r="E510" s="199"/>
    </row>
    <row r="511" spans="5:5" s="31" customFormat="1">
      <c r="E511" s="199"/>
    </row>
    <row r="512" spans="5:5" s="31" customFormat="1">
      <c r="E512" s="199"/>
    </row>
    <row r="513" spans="5:5" s="31" customFormat="1">
      <c r="E513" s="199"/>
    </row>
    <row r="514" spans="5:5" s="31" customFormat="1">
      <c r="E514" s="199"/>
    </row>
    <row r="515" spans="5:5" s="31" customFormat="1">
      <c r="E515" s="199"/>
    </row>
    <row r="516" spans="5:5" s="31" customFormat="1">
      <c r="E516" s="199"/>
    </row>
    <row r="517" spans="5:5" s="31" customFormat="1">
      <c r="E517" s="199"/>
    </row>
    <row r="518" spans="5:5" s="31" customFormat="1">
      <c r="E518" s="199"/>
    </row>
    <row r="519" spans="5:5" s="31" customFormat="1">
      <c r="E519" s="199"/>
    </row>
    <row r="520" spans="5:5" s="31" customFormat="1">
      <c r="E520" s="199"/>
    </row>
    <row r="521" spans="5:5" s="31" customFormat="1">
      <c r="E521" s="199"/>
    </row>
    <row r="522" spans="5:5" s="31" customFormat="1">
      <c r="E522" s="199"/>
    </row>
    <row r="523" spans="5:5" s="31" customFormat="1">
      <c r="E523" s="199"/>
    </row>
    <row r="524" spans="5:5" s="31" customFormat="1">
      <c r="E524" s="199"/>
    </row>
    <row r="525" spans="5:5" s="31" customFormat="1">
      <c r="E525" s="199"/>
    </row>
    <row r="526" spans="5:5" s="31" customFormat="1">
      <c r="E526" s="199"/>
    </row>
    <row r="527" spans="5:5" s="31" customFormat="1">
      <c r="E527" s="199"/>
    </row>
    <row r="528" spans="5:5" s="31" customFormat="1">
      <c r="E528" s="199"/>
    </row>
    <row r="529" spans="5:5" s="31" customFormat="1">
      <c r="E529" s="199"/>
    </row>
    <row r="530" spans="5:5" s="31" customFormat="1">
      <c r="E530" s="199"/>
    </row>
    <row r="531" spans="5:5" s="31" customFormat="1">
      <c r="E531" s="199"/>
    </row>
    <row r="532" spans="5:5" s="31" customFormat="1">
      <c r="E532" s="199"/>
    </row>
    <row r="533" spans="5:5" s="31" customFormat="1">
      <c r="E533" s="199"/>
    </row>
    <row r="534" spans="5:5" s="31" customFormat="1">
      <c r="E534" s="199"/>
    </row>
    <row r="535" spans="5:5" s="31" customFormat="1">
      <c r="E535" s="199"/>
    </row>
    <row r="536" spans="5:5" s="31" customFormat="1">
      <c r="E536" s="199"/>
    </row>
    <row r="537" spans="5:5" s="31" customFormat="1">
      <c r="E537" s="199"/>
    </row>
    <row r="538" spans="5:5" s="31" customFormat="1">
      <c r="E538" s="199"/>
    </row>
    <row r="539" spans="5:5" s="31" customFormat="1">
      <c r="E539" s="199"/>
    </row>
    <row r="540" spans="5:5" s="31" customFormat="1">
      <c r="E540" s="199"/>
    </row>
    <row r="541" spans="5:5" s="31" customFormat="1">
      <c r="E541" s="199"/>
    </row>
    <row r="542" spans="5:5" s="31" customFormat="1">
      <c r="E542" s="199"/>
    </row>
    <row r="543" spans="5:5" s="31" customFormat="1">
      <c r="E543" s="199"/>
    </row>
    <row r="544" spans="5:5" s="31" customFormat="1">
      <c r="E544" s="199"/>
    </row>
    <row r="545" spans="5:5" s="31" customFormat="1">
      <c r="E545" s="199"/>
    </row>
    <row r="546" spans="5:5" s="31" customFormat="1">
      <c r="E546" s="199"/>
    </row>
    <row r="547" spans="5:5" s="31" customFormat="1">
      <c r="E547" s="199"/>
    </row>
    <row r="548" spans="5:5" s="31" customFormat="1">
      <c r="E548" s="199"/>
    </row>
    <row r="549" spans="5:5" s="31" customFormat="1">
      <c r="E549" s="199"/>
    </row>
    <row r="550" spans="5:5" s="31" customFormat="1">
      <c r="E550" s="199"/>
    </row>
    <row r="551" spans="5:5" s="31" customFormat="1">
      <c r="E551" s="199"/>
    </row>
    <row r="552" spans="5:5" s="31" customFormat="1">
      <c r="E552" s="199"/>
    </row>
    <row r="553" spans="5:5" s="31" customFormat="1">
      <c r="E553" s="199"/>
    </row>
    <row r="554" spans="5:5" s="31" customFormat="1">
      <c r="E554" s="199"/>
    </row>
    <row r="555" spans="5:5" s="31" customFormat="1">
      <c r="E555" s="199"/>
    </row>
    <row r="556" spans="5:5" s="31" customFormat="1">
      <c r="E556" s="199"/>
    </row>
    <row r="557" spans="5:5" s="31" customFormat="1">
      <c r="E557" s="199"/>
    </row>
    <row r="558" spans="5:5" s="31" customFormat="1">
      <c r="E558" s="199"/>
    </row>
    <row r="559" spans="5:5" s="31" customFormat="1">
      <c r="E559" s="199"/>
    </row>
    <row r="560" spans="5:5" s="31" customFormat="1">
      <c r="E560" s="199"/>
    </row>
    <row r="561" spans="4:5" s="31" customFormat="1">
      <c r="E561" s="199"/>
    </row>
    <row r="562" spans="4:5" s="31" customFormat="1">
      <c r="E562" s="199"/>
    </row>
    <row r="563" spans="4:5" s="31" customFormat="1">
      <c r="E563" s="199"/>
    </row>
    <row r="564" spans="4:5" s="31" customFormat="1">
      <c r="E564" s="199"/>
    </row>
    <row r="565" spans="4:5" s="31" customFormat="1">
      <c r="E565" s="199"/>
    </row>
    <row r="566" spans="4:5" s="31" customFormat="1">
      <c r="E566" s="199"/>
    </row>
    <row r="567" spans="4:5" s="31" customFormat="1">
      <c r="E567" s="199"/>
    </row>
    <row r="568" spans="4:5" s="31" customFormat="1">
      <c r="E568" s="199"/>
    </row>
    <row r="569" spans="4:5" s="31" customFormat="1">
      <c r="E569" s="199"/>
    </row>
    <row r="570" spans="4:5" s="31" customFormat="1">
      <c r="E570" s="199"/>
    </row>
    <row r="571" spans="4:5" s="31" customFormat="1">
      <c r="E571" s="199"/>
    </row>
    <row r="572" spans="4:5" s="31" customFormat="1">
      <c r="E572" s="199"/>
    </row>
    <row r="573" spans="4:5" s="31" customFormat="1">
      <c r="D573" s="13"/>
      <c r="E573" s="199"/>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X274"/>
  <sheetViews>
    <sheetView zoomScale="85" zoomScaleNormal="85" workbookViewId="0">
      <selection activeCell="C3" sqref="C3"/>
    </sheetView>
  </sheetViews>
  <sheetFormatPr defaultColWidth="0" defaultRowHeight="15" customHeight="1" zeroHeight="1"/>
  <cols>
    <col min="1" max="1" width="1.85546875" style="13" customWidth="1"/>
    <col min="2" max="2" width="4.5703125" style="132" customWidth="1"/>
    <col min="3" max="3" width="20.5703125" style="13" customWidth="1"/>
    <col min="4" max="4" width="4.5703125" style="13" customWidth="1"/>
    <col min="5" max="5" width="26.42578125" style="13" customWidth="1"/>
    <col min="6" max="6" width="31" style="13" customWidth="1"/>
    <col min="7" max="7" width="10.85546875" style="13" customWidth="1"/>
    <col min="8" max="8" width="17.140625" style="13" customWidth="1"/>
    <col min="9" max="9" width="15.42578125" style="13" customWidth="1"/>
    <col min="10" max="10" width="24" style="13" customWidth="1"/>
    <col min="11" max="11" width="21.5703125" style="13" customWidth="1"/>
    <col min="12" max="12" width="27.5703125" style="13" customWidth="1"/>
    <col min="13" max="13" width="26.42578125" style="13" customWidth="1"/>
    <col min="14" max="14" width="24.28515625" style="13" customWidth="1"/>
    <col min="15" max="15" width="17.5703125" style="13" customWidth="1"/>
    <col min="16" max="16" width="37.5703125" style="13" customWidth="1"/>
    <col min="17" max="17" width="29.7109375" style="13" customWidth="1"/>
    <col min="18" max="18" width="13.140625" style="13" customWidth="1"/>
    <col min="19" max="19" width="56.7109375" style="13" customWidth="1"/>
    <col min="20" max="20" width="32.85546875" style="13" customWidth="1"/>
    <col min="21" max="24" width="9.140625" style="13" customWidth="1"/>
    <col min="25" max="16384" width="9.140625" style="13" hidden="1"/>
  </cols>
  <sheetData>
    <row r="1" spans="2:10" ht="15" customHeight="1"/>
    <row r="2" spans="2:10" ht="24" customHeight="1">
      <c r="C2" s="133" t="s">
        <v>954</v>
      </c>
    </row>
    <row r="3" spans="2:10" ht="15" customHeight="1">
      <c r="C3" s="134"/>
    </row>
    <row r="4" spans="2:10" ht="15" customHeight="1">
      <c r="C4" s="24" t="s">
        <v>881</v>
      </c>
      <c r="D4" s="24"/>
      <c r="E4" s="24" t="s">
        <v>911</v>
      </c>
      <c r="F4" s="24"/>
      <c r="G4" s="24"/>
    </row>
    <row r="5" spans="2:10" ht="15" customHeight="1">
      <c r="C5" s="24" t="s">
        <v>883</v>
      </c>
      <c r="D5" s="24"/>
      <c r="E5" s="24" t="s">
        <v>912</v>
      </c>
      <c r="F5" s="24"/>
      <c r="G5" s="24"/>
    </row>
    <row r="6" spans="2:10" ht="15" customHeight="1">
      <c r="C6" s="24" t="s">
        <v>885</v>
      </c>
      <c r="D6" s="24"/>
      <c r="E6" s="24" t="s">
        <v>913</v>
      </c>
      <c r="F6" s="24"/>
      <c r="G6" s="24"/>
    </row>
    <row r="7" spans="2:10" ht="15" customHeight="1"/>
    <row r="8" spans="2:10" ht="15" customHeight="1">
      <c r="J8" s="135" t="s">
        <v>251</v>
      </c>
    </row>
    <row r="9" spans="2:10" ht="15" customHeight="1">
      <c r="B9" s="139">
        <v>1</v>
      </c>
      <c r="C9" s="135" t="s">
        <v>208</v>
      </c>
      <c r="E9" s="136" t="s">
        <v>97</v>
      </c>
      <c r="F9" s="13" t="s">
        <v>209</v>
      </c>
      <c r="J9" s="136" t="s">
        <v>248</v>
      </c>
    </row>
    <row r="10" spans="2:10" ht="15" customHeight="1">
      <c r="J10" s="137" t="s">
        <v>249</v>
      </c>
    </row>
    <row r="11" spans="2:10" ht="15" customHeight="1">
      <c r="B11" s="139">
        <v>2</v>
      </c>
      <c r="C11" s="135" t="s">
        <v>202</v>
      </c>
      <c r="J11" s="138" t="s">
        <v>250</v>
      </c>
    </row>
    <row r="12" spans="2:10" ht="29.25" customHeight="1">
      <c r="B12" s="139"/>
      <c r="C12" s="135"/>
      <c r="E12" s="234" t="s">
        <v>197</v>
      </c>
      <c r="F12" s="235" t="s">
        <v>198</v>
      </c>
      <c r="G12" s="235" t="s">
        <v>914</v>
      </c>
      <c r="H12" s="142" t="s">
        <v>203</v>
      </c>
    </row>
    <row r="13" spans="2:10" ht="15" customHeight="1">
      <c r="D13" s="236">
        <v>1</v>
      </c>
      <c r="E13" s="31" t="s">
        <v>15</v>
      </c>
      <c r="F13" s="237">
        <f>HLOOKUP($E$9,'[1]Transport Reference'!$D$37:$EM$46,'8-Transportation'!D13+1, FALSE)</f>
        <v>42600</v>
      </c>
      <c r="G13" s="237">
        <f>VLOOKUP(E13,'[1]Transport Reference'!$C$22:$G$30,5, FALSE)</f>
        <v>75390.899999999994</v>
      </c>
      <c r="H13" s="158">
        <f>VLOOKUP(E13,'[1]Transport Reference'!$C$7:$D$15,2,FALSE)</f>
        <v>1.1764705882352942</v>
      </c>
    </row>
    <row r="14" spans="2:10" ht="15" customHeight="1">
      <c r="D14" s="236">
        <v>2</v>
      </c>
      <c r="E14" s="31" t="s">
        <v>16</v>
      </c>
      <c r="F14" s="237">
        <f>HLOOKUP($E$9,'[1]Transport Reference'!$D$37:$EM$46,'8-Transportation'!D14+1, FALSE)</f>
        <v>44000</v>
      </c>
      <c r="G14" s="237">
        <f>VLOOKUP(E14,'[1]Transport Reference'!$C$22:$G$30,5, FALSE)</f>
        <v>71146.8</v>
      </c>
      <c r="H14" s="158">
        <f>VLOOKUP(E14,'[1]Transport Reference'!$C$7:$D$15,2,FALSE)</f>
        <v>1.35616</v>
      </c>
    </row>
    <row r="15" spans="2:10" ht="15" customHeight="1">
      <c r="D15" s="236">
        <v>3</v>
      </c>
      <c r="E15" s="13" t="s">
        <v>17</v>
      </c>
      <c r="F15" s="237">
        <f>HLOOKUP($E$9,'[1]Transport Reference'!$D$37:$EM$46,'8-Transportation'!D15+1, FALSE)</f>
        <v>36800</v>
      </c>
      <c r="G15" s="237">
        <f>VLOOKUP(E15,'[1]Transport Reference'!$C$22:$G$30,5, FALSE)</f>
        <v>71049</v>
      </c>
      <c r="H15" s="158">
        <f>VLOOKUP(E15,'[1]Transport Reference'!$C$7:$D$15,2,FALSE)</f>
        <v>1.35616</v>
      </c>
    </row>
    <row r="16" spans="2:10" ht="15" customHeight="1">
      <c r="D16" s="236">
        <v>4</v>
      </c>
      <c r="E16" s="31" t="s">
        <v>19</v>
      </c>
      <c r="F16" s="237">
        <f>HLOOKUP($E$9,'[1]Transport Reference'!$D$37:$EM$46,'8-Transportation'!D16+1, FALSE)</f>
        <v>42705</v>
      </c>
      <c r="G16" s="237">
        <f>VLOOKUP(E16,'[1]Transport Reference'!$C$22:$G$30,5, FALSE)</f>
        <v>58962</v>
      </c>
      <c r="H16" s="158">
        <f>VLOOKUP(E16,'[1]Transport Reference'!$C$7:$D$15,2,FALSE)</f>
        <v>1.6</v>
      </c>
    </row>
    <row r="17" spans="2:10" ht="15" customHeight="1">
      <c r="D17" s="236">
        <v>5</v>
      </c>
      <c r="E17" s="31" t="s">
        <v>20</v>
      </c>
      <c r="F17" s="237">
        <f>HLOOKUP($E$9,'[1]Transport Reference'!$D$37:$EM$46,'8-Transportation'!D17+1, FALSE)</f>
        <v>36800</v>
      </c>
      <c r="G17" s="237">
        <f>VLOOKUP(E17,'[1]Transport Reference'!$C$22:$G$30,5, FALSE)</f>
        <v>95229</v>
      </c>
      <c r="H17" s="158">
        <f>VLOOKUP(E17,'[1]Transport Reference'!$C$7:$D$15,2,FALSE)</f>
        <v>1.2623599999999999</v>
      </c>
    </row>
    <row r="18" spans="2:10" ht="15" customHeight="1">
      <c r="D18" s="236">
        <v>6</v>
      </c>
      <c r="E18" s="13" t="s">
        <v>21</v>
      </c>
      <c r="F18" s="237">
        <f>HLOOKUP($E$9,'[1]Transport Reference'!$D$37:$EM$46,'8-Transportation'!D18+1, FALSE)</f>
        <v>46000</v>
      </c>
      <c r="G18" s="237">
        <f>VLOOKUP(E18,'[1]Transport Reference'!$C$22:$G$30,5, FALSE)</f>
        <v>64464</v>
      </c>
      <c r="H18" s="158">
        <f>VLOOKUP(E18,'[1]Transport Reference'!$C$7:$D$15,2,FALSE)</f>
        <v>1.8442000000000001</v>
      </c>
    </row>
    <row r="19" spans="2:10" ht="15" customHeight="1">
      <c r="D19" s="236">
        <v>7</v>
      </c>
      <c r="E19" s="13" t="s">
        <v>22</v>
      </c>
      <c r="F19" s="237">
        <f>HLOOKUP($E$9,'[1]Transport Reference'!$D$37:$EM$46,'8-Transportation'!D19+1, FALSE)</f>
        <v>44000</v>
      </c>
      <c r="G19" s="237">
        <f>VLOOKUP(E19,'[1]Transport Reference'!$C$22:$G$30,5, FALSE)</f>
        <v>70249</v>
      </c>
      <c r="H19" s="158">
        <f>VLOOKUP(E19,'[1]Transport Reference'!$C$7:$D$15,2,FALSE)</f>
        <v>1.415</v>
      </c>
    </row>
    <row r="20" spans="2:10" ht="15" customHeight="1">
      <c r="D20" s="236">
        <v>8</v>
      </c>
      <c r="E20" s="31" t="s">
        <v>23</v>
      </c>
      <c r="F20" s="237">
        <f>HLOOKUP($E$9,'[1]Transport Reference'!$D$37:$EM$46,'8-Transportation'!D20+1, FALSE)</f>
        <v>43000</v>
      </c>
      <c r="G20" s="237">
        <f>VLOOKUP(E20,'[1]Transport Reference'!$C$22:$G$30,5, FALSE)</f>
        <v>71749</v>
      </c>
      <c r="H20" s="158">
        <f>VLOOKUP(E20,'[1]Transport Reference'!$C$7:$D$15,2,FALSE)</f>
        <v>1.2607200000000001</v>
      </c>
    </row>
    <row r="21" spans="2:10" ht="15" customHeight="1">
      <c r="D21" s="236">
        <v>9</v>
      </c>
      <c r="E21" s="31" t="s">
        <v>10</v>
      </c>
      <c r="F21" s="237">
        <f>HLOOKUP($E$9,'[1]Transport Reference'!$D$37:$EM$46,'8-Transportation'!D21+1, FALSE)</f>
        <v>47143.4</v>
      </c>
      <c r="G21" s="237">
        <f>VLOOKUP(E21,'[1]Transport Reference'!$C$22:$G$30,5, FALSE)</f>
        <v>58962</v>
      </c>
      <c r="H21" s="158">
        <f>VLOOKUP(E21,'[1]Transport Reference'!$C$7:$D$15,2,FALSE)</f>
        <v>1</v>
      </c>
      <c r="I21" s="31"/>
    </row>
    <row r="22" spans="2:10" ht="15" customHeight="1">
      <c r="D22" s="236">
        <v>10</v>
      </c>
      <c r="E22" s="35" t="s">
        <v>201</v>
      </c>
      <c r="F22" s="238" t="s">
        <v>3</v>
      </c>
      <c r="G22" s="239">
        <f>VLOOKUP($E$9,'[1]Transport Reference'!$C$51:$D$200,2,FALSE)</f>
        <v>0.67672529999999997</v>
      </c>
      <c r="H22" s="240" t="s">
        <v>3</v>
      </c>
    </row>
    <row r="23" spans="2:10" ht="15" customHeight="1">
      <c r="E23" s="241" t="s">
        <v>199</v>
      </c>
    </row>
    <row r="24" spans="2:10" ht="15" customHeight="1">
      <c r="E24" s="241"/>
    </row>
    <row r="25" spans="2:10" ht="15" customHeight="1">
      <c r="B25" s="139">
        <v>3</v>
      </c>
      <c r="C25" s="135" t="s">
        <v>204</v>
      </c>
    </row>
    <row r="26" spans="2:10" ht="15" customHeight="1">
      <c r="E26" s="234" t="s">
        <v>197</v>
      </c>
      <c r="F26" s="242" t="s">
        <v>205</v>
      </c>
    </row>
    <row r="27" spans="2:10" ht="15" customHeight="1">
      <c r="E27" s="31" t="s">
        <v>15</v>
      </c>
      <c r="F27" s="243">
        <f>F13*(1/1000000000)*(G13)*(1/H13)</f>
        <v>2.7299044889999999</v>
      </c>
      <c r="G27" s="244"/>
    </row>
    <row r="28" spans="2:10" ht="15" customHeight="1">
      <c r="E28" s="31" t="s">
        <v>16</v>
      </c>
      <c r="F28" s="243">
        <f t="shared" ref="F28:F35" si="0">F14*(1/1000000000)*(G14)*(1/H14)</f>
        <v>2.3083258612553093</v>
      </c>
    </row>
    <row r="29" spans="2:10" ht="15" customHeight="1">
      <c r="E29" s="13" t="s">
        <v>17</v>
      </c>
      <c r="F29" s="243">
        <f t="shared" si="0"/>
        <v>1.9279459650778668</v>
      </c>
    </row>
    <row r="30" spans="2:10" ht="15" customHeight="1">
      <c r="E30" s="31" t="s">
        <v>19</v>
      </c>
      <c r="F30" s="243">
        <f t="shared" si="0"/>
        <v>1.5737326312500002</v>
      </c>
    </row>
    <row r="31" spans="2:10" ht="15" customHeight="1">
      <c r="E31" s="31" t="s">
        <v>221</v>
      </c>
      <c r="F31" s="243">
        <f t="shared" si="0"/>
        <v>2.7760917646313255</v>
      </c>
      <c r="G31" s="31"/>
      <c r="H31" s="31"/>
      <c r="J31" s="31"/>
    </row>
    <row r="32" spans="2:10" ht="15" customHeight="1">
      <c r="C32" s="245"/>
      <c r="E32" s="13" t="s">
        <v>21</v>
      </c>
      <c r="F32" s="243">
        <f t="shared" si="0"/>
        <v>1.6079297256262879</v>
      </c>
      <c r="G32" s="31"/>
      <c r="H32" s="31"/>
      <c r="J32" s="31"/>
    </row>
    <row r="33" spans="2:19" ht="15" customHeight="1">
      <c r="C33" s="246"/>
      <c r="E33" s="13" t="s">
        <v>22</v>
      </c>
      <c r="F33" s="243">
        <f t="shared" si="0"/>
        <v>2.1844212014134277</v>
      </c>
    </row>
    <row r="34" spans="2:19" ht="15" customHeight="1">
      <c r="E34" s="31" t="s">
        <v>23</v>
      </c>
      <c r="F34" s="243">
        <f t="shared" si="0"/>
        <v>2.4471785963576367</v>
      </c>
      <c r="G34" s="31"/>
      <c r="H34" s="31"/>
      <c r="J34" s="31"/>
    </row>
    <row r="35" spans="2:19" ht="15" customHeight="1">
      <c r="E35" s="31" t="s">
        <v>10</v>
      </c>
      <c r="F35" s="243">
        <f t="shared" si="0"/>
        <v>2.7796691508000002</v>
      </c>
      <c r="G35" s="31" t="s">
        <v>206</v>
      </c>
      <c r="H35" s="31"/>
      <c r="J35" s="31"/>
    </row>
    <row r="36" spans="2:19" ht="15" customHeight="1">
      <c r="E36" s="35" t="s">
        <v>18</v>
      </c>
      <c r="F36" s="247">
        <f>G22</f>
        <v>0.67672529999999997</v>
      </c>
      <c r="G36" s="13" t="s">
        <v>207</v>
      </c>
    </row>
    <row r="37" spans="2:19" ht="15" customHeight="1"/>
    <row r="38" spans="2:19" ht="15" customHeight="1">
      <c r="B38" s="139">
        <v>4</v>
      </c>
      <c r="C38" s="135" t="s">
        <v>239</v>
      </c>
    </row>
    <row r="39" spans="2:19" s="148" customFormat="1" ht="45.75" customHeight="1">
      <c r="B39" s="248"/>
      <c r="E39" s="142" t="s">
        <v>197</v>
      </c>
      <c r="F39" s="142" t="s">
        <v>0</v>
      </c>
      <c r="G39" s="142" t="s">
        <v>237</v>
      </c>
      <c r="H39" s="142" t="s">
        <v>7</v>
      </c>
      <c r="I39" s="142" t="s">
        <v>915</v>
      </c>
      <c r="J39" s="142" t="s">
        <v>916</v>
      </c>
      <c r="K39" s="142" t="s">
        <v>621</v>
      </c>
      <c r="L39" s="142" t="s">
        <v>917</v>
      </c>
      <c r="M39" s="142" t="s">
        <v>240</v>
      </c>
      <c r="N39" s="142" t="s">
        <v>220</v>
      </c>
      <c r="O39" s="142" t="s">
        <v>238</v>
      </c>
      <c r="P39" s="142" t="s">
        <v>219</v>
      </c>
      <c r="Q39" s="142" t="s">
        <v>6</v>
      </c>
    </row>
    <row r="40" spans="2:19" ht="15" customHeight="1">
      <c r="E40" s="31" t="s">
        <v>600</v>
      </c>
      <c r="F40" s="249">
        <f>204871000</f>
        <v>204871000</v>
      </c>
      <c r="G40" s="137" t="s">
        <v>247</v>
      </c>
      <c r="H40" s="136">
        <v>2010</v>
      </c>
      <c r="I40" s="250">
        <v>0</v>
      </c>
      <c r="J40" s="251">
        <f>F40*F27/1000</f>
        <v>559278.26256591908</v>
      </c>
      <c r="K40" s="251">
        <v>38</v>
      </c>
      <c r="L40" s="251">
        <f>F40*K40</f>
        <v>7785098000</v>
      </c>
      <c r="M40" s="160" t="s">
        <v>604</v>
      </c>
      <c r="N40" s="160" t="s">
        <v>584</v>
      </c>
      <c r="O40" s="136" t="s">
        <v>218</v>
      </c>
      <c r="P40" s="160"/>
      <c r="Q40" s="160"/>
    </row>
    <row r="41" spans="2:19" ht="15" customHeight="1">
      <c r="E41" s="31" t="s">
        <v>598</v>
      </c>
      <c r="F41" s="154">
        <f>496484000+1900000</f>
        <v>498384000</v>
      </c>
      <c r="G41" s="137" t="s">
        <v>247</v>
      </c>
      <c r="H41" s="136">
        <v>2010</v>
      </c>
      <c r="I41" s="250">
        <v>0</v>
      </c>
      <c r="J41" s="251">
        <f>F41*F28/1000</f>
        <v>1150432.6760358659</v>
      </c>
      <c r="K41" s="251">
        <v>35</v>
      </c>
      <c r="L41" s="251">
        <f>F41*K41</f>
        <v>17443440000</v>
      </c>
      <c r="M41" s="160" t="s">
        <v>604</v>
      </c>
      <c r="N41" s="160" t="s">
        <v>584</v>
      </c>
      <c r="O41" s="136" t="s">
        <v>218</v>
      </c>
      <c r="P41" s="160"/>
      <c r="Q41" s="160"/>
    </row>
    <row r="42" spans="2:19" ht="15" customHeight="1">
      <c r="E42" s="13" t="s">
        <v>17</v>
      </c>
      <c r="F42" s="154"/>
      <c r="G42" s="137" t="s">
        <v>247</v>
      </c>
      <c r="H42" s="136"/>
      <c r="I42" s="250"/>
      <c r="J42" s="237">
        <f t="shared" ref="J42:J49" si="1">((F42-(F42*I42))*(VLOOKUP(E42,$E$27:$F$36,2,FALSE)))/1000</f>
        <v>0</v>
      </c>
      <c r="K42" s="237"/>
      <c r="L42" s="237"/>
      <c r="M42" s="160"/>
      <c r="N42" s="160"/>
      <c r="O42" s="136"/>
      <c r="P42" s="160"/>
      <c r="Q42" s="160"/>
    </row>
    <row r="43" spans="2:19" ht="15" customHeight="1">
      <c r="E43" s="31" t="s">
        <v>19</v>
      </c>
      <c r="F43" s="160"/>
      <c r="G43" s="137" t="s">
        <v>247</v>
      </c>
      <c r="H43" s="136"/>
      <c r="I43" s="250"/>
      <c r="J43" s="237">
        <f t="shared" si="1"/>
        <v>0</v>
      </c>
      <c r="K43" s="237"/>
      <c r="L43" s="237"/>
      <c r="M43" s="160"/>
      <c r="N43" s="160"/>
      <c r="O43" s="136"/>
      <c r="P43" s="160"/>
      <c r="Q43" s="160"/>
    </row>
    <row r="44" spans="2:19" ht="15" customHeight="1">
      <c r="E44" s="31" t="s">
        <v>221</v>
      </c>
      <c r="F44" s="160"/>
      <c r="G44" s="137" t="s">
        <v>247</v>
      </c>
      <c r="H44" s="136"/>
      <c r="I44" s="250"/>
      <c r="J44" s="237">
        <f t="shared" si="1"/>
        <v>0</v>
      </c>
      <c r="K44" s="237"/>
      <c r="L44" s="237"/>
      <c r="M44" s="160"/>
      <c r="N44" s="160"/>
      <c r="O44" s="136"/>
      <c r="P44" s="160"/>
      <c r="Q44" s="160"/>
    </row>
    <row r="45" spans="2:19" ht="15" customHeight="1">
      <c r="E45" s="13" t="s">
        <v>21</v>
      </c>
      <c r="F45" s="252"/>
      <c r="G45" s="137" t="s">
        <v>247</v>
      </c>
      <c r="H45" s="136"/>
      <c r="I45" s="250"/>
      <c r="J45" s="237">
        <f t="shared" si="1"/>
        <v>0</v>
      </c>
      <c r="K45" s="237"/>
      <c r="L45" s="237"/>
      <c r="M45" s="160"/>
      <c r="N45" s="160"/>
      <c r="O45" s="136"/>
      <c r="P45" s="160"/>
      <c r="Q45" s="160" t="s">
        <v>599</v>
      </c>
      <c r="R45" s="253">
        <v>25757</v>
      </c>
      <c r="S45" s="254" t="s">
        <v>602</v>
      </c>
    </row>
    <row r="46" spans="2:19" ht="15" customHeight="1">
      <c r="E46" s="13" t="s">
        <v>22</v>
      </c>
      <c r="F46" s="160"/>
      <c r="G46" s="137" t="s">
        <v>247</v>
      </c>
      <c r="H46" s="136"/>
      <c r="I46" s="250"/>
      <c r="J46" s="237">
        <f t="shared" si="1"/>
        <v>0</v>
      </c>
      <c r="K46" s="237"/>
      <c r="L46" s="237"/>
      <c r="M46" s="160"/>
      <c r="N46" s="160"/>
      <c r="O46" s="136"/>
      <c r="P46" s="160"/>
      <c r="Q46" s="160"/>
      <c r="R46" s="253">
        <v>116478</v>
      </c>
      <c r="S46" s="254" t="s">
        <v>603</v>
      </c>
    </row>
    <row r="47" spans="2:19" ht="15" customHeight="1">
      <c r="E47" s="31" t="s">
        <v>23</v>
      </c>
      <c r="F47" s="160"/>
      <c r="G47" s="137" t="s">
        <v>247</v>
      </c>
      <c r="H47" s="136"/>
      <c r="I47" s="250"/>
      <c r="J47" s="237">
        <f t="shared" si="1"/>
        <v>0</v>
      </c>
      <c r="K47" s="237"/>
      <c r="L47" s="237"/>
      <c r="M47" s="160"/>
      <c r="N47" s="160"/>
      <c r="O47" s="136"/>
      <c r="P47" s="160"/>
      <c r="Q47" s="160"/>
    </row>
    <row r="48" spans="2:19" ht="15" customHeight="1">
      <c r="E48" s="31" t="s">
        <v>10</v>
      </c>
      <c r="F48" s="160"/>
      <c r="G48" s="137" t="s">
        <v>211</v>
      </c>
      <c r="H48" s="136"/>
      <c r="I48" s="250"/>
      <c r="J48" s="237">
        <f t="shared" si="1"/>
        <v>0</v>
      </c>
      <c r="K48" s="237"/>
      <c r="L48" s="237"/>
      <c r="M48" s="160"/>
      <c r="N48" s="160"/>
      <c r="O48" s="136"/>
      <c r="P48" s="160"/>
      <c r="Q48" s="160"/>
    </row>
    <row r="49" spans="2:20" ht="15" customHeight="1" thickBot="1">
      <c r="E49" s="35" t="s">
        <v>18</v>
      </c>
      <c r="F49" s="166"/>
      <c r="G49" s="167" t="s">
        <v>213</v>
      </c>
      <c r="H49" s="165"/>
      <c r="I49" s="255"/>
      <c r="J49" s="256">
        <f t="shared" si="1"/>
        <v>0</v>
      </c>
      <c r="K49" s="256"/>
      <c r="L49" s="257"/>
      <c r="M49" s="166"/>
      <c r="N49" s="166"/>
      <c r="O49" s="165"/>
      <c r="P49" s="166"/>
      <c r="Q49" s="166"/>
    </row>
    <row r="50" spans="2:20" ht="15" customHeight="1" thickBot="1">
      <c r="J50" s="258">
        <f>SUM(J40:J49)</f>
        <v>1709710.9386017849</v>
      </c>
      <c r="K50" s="13" t="s">
        <v>594</v>
      </c>
      <c r="L50" s="259">
        <f>SUM(L40:L49)</f>
        <v>25228538000</v>
      </c>
      <c r="M50" s="13" t="s">
        <v>918</v>
      </c>
    </row>
    <row r="51" spans="2:20" ht="15" customHeight="1">
      <c r="B51" s="139">
        <v>5</v>
      </c>
      <c r="C51" s="135" t="s">
        <v>919</v>
      </c>
      <c r="F51" s="182"/>
    </row>
    <row r="52" spans="2:20" s="148" customFormat="1" ht="31.5" customHeight="1">
      <c r="B52" s="248"/>
      <c r="E52" s="142" t="s">
        <v>920</v>
      </c>
      <c r="F52" s="142" t="s">
        <v>921</v>
      </c>
      <c r="G52" s="142" t="s">
        <v>922</v>
      </c>
      <c r="H52" s="142" t="s">
        <v>197</v>
      </c>
      <c r="I52" s="142" t="s">
        <v>923</v>
      </c>
      <c r="J52" s="142" t="s">
        <v>924</v>
      </c>
      <c r="K52" s="142" t="s">
        <v>241</v>
      </c>
      <c r="L52" s="142" t="s">
        <v>925</v>
      </c>
      <c r="M52" s="142" t="s">
        <v>926</v>
      </c>
      <c r="N52" s="142" t="s">
        <v>927</v>
      </c>
      <c r="O52" s="142" t="s">
        <v>7</v>
      </c>
      <c r="P52" s="142" t="s">
        <v>240</v>
      </c>
      <c r="Q52" s="142" t="s">
        <v>220</v>
      </c>
      <c r="R52" s="142" t="s">
        <v>238</v>
      </c>
      <c r="S52" s="142" t="s">
        <v>219</v>
      </c>
      <c r="T52" s="142" t="s">
        <v>6</v>
      </c>
    </row>
    <row r="53" spans="2:20" s="24" customFormat="1" ht="15" customHeight="1">
      <c r="B53" s="260"/>
      <c r="D53" s="149"/>
      <c r="E53" s="150"/>
      <c r="F53" s="151"/>
      <c r="G53" s="261"/>
      <c r="H53" s="150"/>
      <c r="I53" s="150"/>
      <c r="J53" s="151"/>
      <c r="K53" s="262"/>
      <c r="L53" s="263"/>
      <c r="M53" s="264"/>
      <c r="N53" s="265"/>
      <c r="O53" s="266"/>
      <c r="P53" s="151"/>
      <c r="Q53" s="151"/>
      <c r="R53" s="150"/>
      <c r="S53" s="151"/>
      <c r="T53" s="151"/>
    </row>
    <row r="54" spans="2:20" ht="15" customHeight="1">
      <c r="D54" s="13">
        <v>1</v>
      </c>
      <c r="E54" s="136" t="s">
        <v>228</v>
      </c>
      <c r="F54" s="160" t="s">
        <v>928</v>
      </c>
      <c r="G54" s="160">
        <v>290</v>
      </c>
      <c r="H54" s="136" t="s">
        <v>15</v>
      </c>
      <c r="I54" s="136"/>
      <c r="J54" s="267">
        <f>0.59*1.2</f>
        <v>0.70799999999999996</v>
      </c>
      <c r="K54" s="268" t="s">
        <v>244</v>
      </c>
      <c r="L54" s="269">
        <v>59060.16333333333</v>
      </c>
      <c r="M54" s="264">
        <f t="shared" ref="M54:M64" si="2">IF(G54&gt;0,VLOOKUP(H54,$E$27:$F$36,2,FALSE),0)</f>
        <v>2.7299044889999999</v>
      </c>
      <c r="N54" s="265">
        <f t="shared" ref="N54:N64" si="3">(M54*J54*L54*G54)/1000</f>
        <v>33103.457179573183</v>
      </c>
      <c r="O54" s="266">
        <v>2008</v>
      </c>
      <c r="P54" s="160" t="s">
        <v>929</v>
      </c>
      <c r="Q54" s="160" t="s">
        <v>930</v>
      </c>
      <c r="R54" s="136"/>
      <c r="S54" s="160"/>
      <c r="T54" s="160"/>
    </row>
    <row r="55" spans="2:20" ht="15" customHeight="1">
      <c r="D55" s="13">
        <v>2</v>
      </c>
      <c r="E55" s="136" t="s">
        <v>226</v>
      </c>
      <c r="F55" s="160" t="s">
        <v>931</v>
      </c>
      <c r="G55" s="160">
        <v>4932</v>
      </c>
      <c r="H55" s="136" t="s">
        <v>16</v>
      </c>
      <c r="I55" s="136"/>
      <c r="J55" s="267"/>
      <c r="K55" s="268" t="s">
        <v>244</v>
      </c>
      <c r="L55" s="269">
        <v>62014.521999999997</v>
      </c>
      <c r="M55" s="264">
        <f t="shared" si="2"/>
        <v>2.3083258612553093</v>
      </c>
      <c r="N55" s="265">
        <f t="shared" si="3"/>
        <v>0</v>
      </c>
      <c r="O55" s="266">
        <v>2008</v>
      </c>
      <c r="P55" s="160" t="s">
        <v>929</v>
      </c>
      <c r="Q55" s="160" t="s">
        <v>930</v>
      </c>
      <c r="R55" s="136"/>
      <c r="S55" s="160"/>
      <c r="T55" s="160"/>
    </row>
    <row r="56" spans="2:20" ht="15" customHeight="1">
      <c r="D56" s="13">
        <v>3</v>
      </c>
      <c r="E56" s="136" t="s">
        <v>225</v>
      </c>
      <c r="F56" s="160" t="s">
        <v>932</v>
      </c>
      <c r="G56" s="160">
        <f>4541-250</f>
        <v>4291</v>
      </c>
      <c r="H56" s="136" t="s">
        <v>16</v>
      </c>
      <c r="I56" s="136"/>
      <c r="J56" s="267">
        <v>0.13</v>
      </c>
      <c r="K56" s="268" t="s">
        <v>244</v>
      </c>
      <c r="L56" s="269">
        <f>300*365</f>
        <v>109500</v>
      </c>
      <c r="M56" s="264">
        <f t="shared" si="2"/>
        <v>2.3083258612553093</v>
      </c>
      <c r="N56" s="265">
        <f t="shared" si="3"/>
        <v>140998.04896265338</v>
      </c>
      <c r="O56" s="266">
        <v>2008</v>
      </c>
      <c r="P56" s="160" t="s">
        <v>929</v>
      </c>
      <c r="Q56" s="160" t="s">
        <v>930</v>
      </c>
      <c r="R56" s="136"/>
      <c r="S56" s="160"/>
      <c r="T56" s="160"/>
    </row>
    <row r="57" spans="2:20" ht="15" customHeight="1">
      <c r="D57" s="13">
        <v>4</v>
      </c>
      <c r="E57" s="136" t="s">
        <v>225</v>
      </c>
      <c r="F57" s="160" t="s">
        <v>933</v>
      </c>
      <c r="G57" s="270">
        <v>250</v>
      </c>
      <c r="H57" s="136" t="s">
        <v>10</v>
      </c>
      <c r="I57" s="136"/>
      <c r="J57" s="267">
        <v>0.12230000000000001</v>
      </c>
      <c r="K57" s="268" t="s">
        <v>244</v>
      </c>
      <c r="L57" s="269">
        <f>300*365</f>
        <v>109500</v>
      </c>
      <c r="M57" s="264">
        <f t="shared" si="2"/>
        <v>2.7796691508000002</v>
      </c>
      <c r="N57" s="265">
        <f t="shared" si="3"/>
        <v>9306.2280792852471</v>
      </c>
      <c r="O57" s="266">
        <v>2008</v>
      </c>
      <c r="P57" s="160" t="s">
        <v>929</v>
      </c>
      <c r="Q57" s="160" t="s">
        <v>930</v>
      </c>
      <c r="R57" s="136"/>
      <c r="S57" s="160"/>
      <c r="T57" s="160"/>
    </row>
    <row r="58" spans="2:20" ht="15" customHeight="1">
      <c r="D58" s="13">
        <v>5</v>
      </c>
      <c r="E58" s="136" t="s">
        <v>228</v>
      </c>
      <c r="F58" s="160" t="s">
        <v>934</v>
      </c>
      <c r="G58" s="270">
        <v>4</v>
      </c>
      <c r="H58" s="136" t="s">
        <v>15</v>
      </c>
      <c r="I58" s="136"/>
      <c r="J58" s="267">
        <f>0.59*1.2</f>
        <v>0.70799999999999996</v>
      </c>
      <c r="K58" s="268" t="s">
        <v>245</v>
      </c>
      <c r="L58" s="269">
        <v>18089.400000000001</v>
      </c>
      <c r="M58" s="264">
        <f t="shared" si="2"/>
        <v>2.7299044889999999</v>
      </c>
      <c r="N58" s="265">
        <f t="shared" si="3"/>
        <v>139.85077063371261</v>
      </c>
      <c r="O58" s="266">
        <v>2008</v>
      </c>
      <c r="P58" s="160" t="s">
        <v>929</v>
      </c>
      <c r="Q58" s="160" t="s">
        <v>930</v>
      </c>
      <c r="R58" s="136"/>
      <c r="S58" s="160"/>
      <c r="T58" s="160"/>
    </row>
    <row r="59" spans="2:20" ht="15" customHeight="1">
      <c r="D59" s="13">
        <v>6</v>
      </c>
      <c r="E59" s="136" t="s">
        <v>233</v>
      </c>
      <c r="F59" s="160"/>
      <c r="G59" s="271">
        <v>232888</v>
      </c>
      <c r="H59" s="136" t="s">
        <v>16</v>
      </c>
      <c r="I59" s="136"/>
      <c r="J59" s="160">
        <v>0.11</v>
      </c>
      <c r="K59" s="268" t="s">
        <v>244</v>
      </c>
      <c r="L59" s="269">
        <v>20000</v>
      </c>
      <c r="M59" s="264">
        <f t="shared" si="2"/>
        <v>2.3083258612553093</v>
      </c>
      <c r="N59" s="265">
        <f t="shared" si="3"/>
        <v>1182679.0649872583</v>
      </c>
      <c r="O59" s="266">
        <v>2008</v>
      </c>
      <c r="P59" s="160" t="s">
        <v>929</v>
      </c>
      <c r="Q59" s="160" t="s">
        <v>930</v>
      </c>
      <c r="R59" s="136"/>
      <c r="S59" s="160"/>
      <c r="T59" s="160"/>
    </row>
    <row r="60" spans="2:20" ht="15" customHeight="1">
      <c r="D60" s="13">
        <v>7</v>
      </c>
      <c r="E60" s="136" t="s">
        <v>223</v>
      </c>
      <c r="F60" s="160"/>
      <c r="G60" s="271">
        <v>86671</v>
      </c>
      <c r="H60" s="136" t="s">
        <v>16</v>
      </c>
      <c r="I60" s="136"/>
      <c r="J60" s="160">
        <v>0.13</v>
      </c>
      <c r="K60" s="268" t="s">
        <v>244</v>
      </c>
      <c r="L60" s="269">
        <v>20000</v>
      </c>
      <c r="M60" s="264">
        <f t="shared" si="2"/>
        <v>2.3083258612553093</v>
      </c>
      <c r="N60" s="265">
        <f t="shared" si="3"/>
        <v>520168.76787423319</v>
      </c>
      <c r="O60" s="266">
        <v>2008</v>
      </c>
      <c r="P60" s="160" t="s">
        <v>929</v>
      </c>
      <c r="Q60" s="160" t="s">
        <v>930</v>
      </c>
      <c r="R60" s="136"/>
      <c r="S60" s="160"/>
      <c r="T60" s="160"/>
    </row>
    <row r="61" spans="2:20" ht="15" customHeight="1">
      <c r="D61" s="13">
        <v>8</v>
      </c>
      <c r="E61" s="136" t="s">
        <v>236</v>
      </c>
      <c r="F61" s="160"/>
      <c r="G61" s="272">
        <v>972645</v>
      </c>
      <c r="H61" s="136" t="s">
        <v>16</v>
      </c>
      <c r="I61" s="136"/>
      <c r="J61" s="160">
        <v>0.02</v>
      </c>
      <c r="K61" s="268" t="s">
        <v>244</v>
      </c>
      <c r="L61" s="269">
        <v>15000</v>
      </c>
      <c r="M61" s="264">
        <f t="shared" si="2"/>
        <v>2.3083258612553093</v>
      </c>
      <c r="N61" s="265">
        <f t="shared" si="3"/>
        <v>673554.48219620122</v>
      </c>
      <c r="O61" s="266">
        <v>2008</v>
      </c>
      <c r="P61" s="160" t="s">
        <v>929</v>
      </c>
      <c r="Q61" s="160" t="s">
        <v>930</v>
      </c>
      <c r="R61" s="136"/>
      <c r="S61" s="160"/>
      <c r="T61" s="160"/>
    </row>
    <row r="62" spans="2:20" ht="15" customHeight="1">
      <c r="D62" s="13">
        <v>9</v>
      </c>
      <c r="E62" s="136"/>
      <c r="F62" s="160"/>
      <c r="G62" s="261"/>
      <c r="H62" s="136"/>
      <c r="I62" s="136"/>
      <c r="J62" s="160"/>
      <c r="K62" s="262"/>
      <c r="L62" s="269"/>
      <c r="M62" s="264">
        <f t="shared" si="2"/>
        <v>0</v>
      </c>
      <c r="N62" s="265">
        <f t="shared" si="3"/>
        <v>0</v>
      </c>
      <c r="O62" s="266"/>
      <c r="P62" s="160"/>
      <c r="Q62" s="160"/>
      <c r="R62" s="136"/>
      <c r="S62" s="160"/>
      <c r="T62" s="160"/>
    </row>
    <row r="63" spans="2:20" ht="15" customHeight="1">
      <c r="D63" s="13">
        <v>10</v>
      </c>
      <c r="E63" s="136"/>
      <c r="F63" s="160"/>
      <c r="G63" s="261"/>
      <c r="H63" s="136"/>
      <c r="I63" s="136"/>
      <c r="J63" s="160"/>
      <c r="K63" s="262"/>
      <c r="L63" s="269"/>
      <c r="M63" s="264">
        <f t="shared" si="2"/>
        <v>0</v>
      </c>
      <c r="N63" s="265">
        <f t="shared" si="3"/>
        <v>0</v>
      </c>
      <c r="O63" s="266"/>
      <c r="P63" s="160"/>
      <c r="Q63" s="160"/>
      <c r="R63" s="136"/>
      <c r="S63" s="160"/>
      <c r="T63" s="160"/>
    </row>
    <row r="64" spans="2:20" ht="15" customHeight="1">
      <c r="D64" s="13">
        <v>11</v>
      </c>
      <c r="E64" s="136"/>
      <c r="F64" s="160"/>
      <c r="G64" s="261"/>
      <c r="H64" s="136"/>
      <c r="I64" s="136"/>
      <c r="J64" s="160"/>
      <c r="K64" s="262"/>
      <c r="L64" s="269"/>
      <c r="M64" s="273">
        <f t="shared" si="2"/>
        <v>0</v>
      </c>
      <c r="N64" s="265">
        <f t="shared" si="3"/>
        <v>0</v>
      </c>
      <c r="O64" s="266"/>
      <c r="P64" s="160"/>
      <c r="Q64" s="160"/>
      <c r="R64" s="136"/>
      <c r="S64" s="160"/>
      <c r="T64" s="160"/>
    </row>
    <row r="65" spans="2:20" ht="15" customHeight="1">
      <c r="D65" s="274"/>
      <c r="E65" s="234" t="s">
        <v>252</v>
      </c>
      <c r="F65" s="274"/>
      <c r="G65" s="274"/>
      <c r="H65" s="274"/>
      <c r="I65" s="274"/>
      <c r="J65" s="274"/>
      <c r="K65" s="274"/>
      <c r="L65" s="274"/>
      <c r="M65" s="274"/>
      <c r="N65" s="275">
        <f>SUM(N53:N64)</f>
        <v>2559949.9000498382</v>
      </c>
      <c r="O65" s="274"/>
      <c r="P65" s="274"/>
      <c r="Q65" s="274"/>
      <c r="R65" s="274"/>
      <c r="S65" s="274"/>
      <c r="T65" s="274"/>
    </row>
    <row r="66" spans="2:20" ht="15" customHeight="1"/>
    <row r="67" spans="2:20" ht="15" customHeight="1"/>
    <row r="68" spans="2:20" ht="15" customHeight="1">
      <c r="B68" s="139">
        <v>6</v>
      </c>
      <c r="C68" s="135" t="s">
        <v>500</v>
      </c>
      <c r="E68" s="135" t="s">
        <v>935</v>
      </c>
      <c r="F68" s="276">
        <f>SUM(J40:J49)</f>
        <v>1709710.9386017849</v>
      </c>
      <c r="G68" s="135" t="s">
        <v>936</v>
      </c>
    </row>
    <row r="69" spans="2:20" ht="15" customHeight="1">
      <c r="B69" s="139"/>
      <c r="C69" s="135"/>
      <c r="E69" s="13" t="s">
        <v>937</v>
      </c>
      <c r="F69" s="277">
        <f>N65</f>
        <v>2559949.9000498382</v>
      </c>
      <c r="G69" s="13" t="s">
        <v>938</v>
      </c>
    </row>
    <row r="70" spans="2:20" ht="15" customHeight="1">
      <c r="B70" s="139"/>
      <c r="C70" s="135"/>
      <c r="E70" s="278"/>
      <c r="F70" s="135"/>
    </row>
    <row r="71" spans="2:20" ht="15" customHeight="1">
      <c r="B71" s="139"/>
      <c r="C71" s="135"/>
      <c r="E71" s="278"/>
      <c r="F71" s="135"/>
    </row>
    <row r="72" spans="2:20" s="35" customFormat="1" ht="15" customHeight="1">
      <c r="B72" s="279"/>
    </row>
    <row r="73" spans="2:20" s="31" customFormat="1" ht="15" customHeight="1">
      <c r="B73" s="280"/>
    </row>
    <row r="74" spans="2:20" ht="15" customHeight="1">
      <c r="C74" s="188" t="s">
        <v>246</v>
      </c>
    </row>
    <row r="75" spans="2:20" s="282" customFormat="1" ht="28.5" customHeight="1">
      <c r="B75" s="281"/>
      <c r="C75" s="190" t="s">
        <v>200</v>
      </c>
      <c r="E75" s="190" t="s">
        <v>210</v>
      </c>
      <c r="F75" s="190" t="s">
        <v>215</v>
      </c>
      <c r="G75" s="190" t="s">
        <v>4</v>
      </c>
      <c r="H75" s="190" t="s">
        <v>2</v>
      </c>
      <c r="I75" s="190" t="s">
        <v>241</v>
      </c>
      <c r="J75" s="190" t="s">
        <v>222</v>
      </c>
    </row>
    <row r="76" spans="2:20" ht="15" customHeight="1">
      <c r="C76" s="13" t="s">
        <v>183</v>
      </c>
      <c r="E76" s="13" t="s">
        <v>211</v>
      </c>
      <c r="F76" s="13" t="s">
        <v>216</v>
      </c>
      <c r="G76" s="191">
        <v>1960</v>
      </c>
      <c r="H76" s="192">
        <v>0</v>
      </c>
      <c r="I76" s="191" t="s">
        <v>244</v>
      </c>
      <c r="J76" s="13" t="s">
        <v>233</v>
      </c>
    </row>
    <row r="77" spans="2:20" ht="15" customHeight="1">
      <c r="C77" s="13" t="s">
        <v>184</v>
      </c>
      <c r="E77" s="13" t="s">
        <v>212</v>
      </c>
      <c r="F77" s="13" t="s">
        <v>217</v>
      </c>
      <c r="G77" s="191">
        <v>1961</v>
      </c>
      <c r="H77" s="192">
        <v>0.05</v>
      </c>
      <c r="I77" s="191" t="s">
        <v>245</v>
      </c>
      <c r="J77" s="13" t="s">
        <v>234</v>
      </c>
    </row>
    <row r="78" spans="2:20" ht="15" customHeight="1">
      <c r="C78" s="13" t="s">
        <v>185</v>
      </c>
      <c r="E78" s="13" t="s">
        <v>213</v>
      </c>
      <c r="F78" s="13" t="s">
        <v>218</v>
      </c>
      <c r="G78" s="191">
        <v>1962</v>
      </c>
      <c r="H78" s="192">
        <v>0.1</v>
      </c>
      <c r="I78" s="191" t="s">
        <v>242</v>
      </c>
      <c r="J78" s="13" t="s">
        <v>223</v>
      </c>
    </row>
    <row r="79" spans="2:20" ht="15" customHeight="1">
      <c r="C79" s="13" t="s">
        <v>186</v>
      </c>
      <c r="E79" s="13" t="s">
        <v>214</v>
      </c>
      <c r="F79" s="13" t="s">
        <v>3</v>
      </c>
      <c r="G79" s="191">
        <v>1963</v>
      </c>
      <c r="H79" s="192">
        <v>0.15</v>
      </c>
      <c r="I79" s="191"/>
      <c r="J79" s="13" t="s">
        <v>224</v>
      </c>
    </row>
    <row r="80" spans="2:20" ht="15" customHeight="1">
      <c r="C80" s="13" t="s">
        <v>187</v>
      </c>
      <c r="G80" s="191">
        <v>1964</v>
      </c>
      <c r="H80" s="192">
        <v>0.2</v>
      </c>
      <c r="I80" s="191"/>
      <c r="J80" s="13" t="s">
        <v>225</v>
      </c>
    </row>
    <row r="81" spans="3:10" ht="15" customHeight="1">
      <c r="C81" s="13" t="s">
        <v>188</v>
      </c>
      <c r="G81" s="191">
        <v>1965</v>
      </c>
      <c r="H81" s="192">
        <v>0.25</v>
      </c>
      <c r="I81" s="191"/>
      <c r="J81" s="13" t="s">
        <v>226</v>
      </c>
    </row>
    <row r="82" spans="3:10" ht="15" customHeight="1">
      <c r="C82" s="13" t="s">
        <v>189</v>
      </c>
      <c r="G82" s="191">
        <v>1966</v>
      </c>
      <c r="H82" s="192">
        <v>0.3</v>
      </c>
      <c r="I82" s="191"/>
      <c r="J82" s="13" t="s">
        <v>227</v>
      </c>
    </row>
    <row r="83" spans="3:10" ht="15" customHeight="1">
      <c r="C83" s="13" t="s">
        <v>190</v>
      </c>
      <c r="G83" s="191">
        <v>1967</v>
      </c>
      <c r="H83" s="192">
        <v>0.35</v>
      </c>
      <c r="I83" s="191"/>
      <c r="J83" s="13" t="s">
        <v>228</v>
      </c>
    </row>
    <row r="84" spans="3:10" ht="15" customHeight="1">
      <c r="C84" s="13" t="s">
        <v>191</v>
      </c>
      <c r="G84" s="191">
        <v>1968</v>
      </c>
      <c r="H84" s="192">
        <v>0.4</v>
      </c>
      <c r="I84" s="191"/>
      <c r="J84" s="13" t="s">
        <v>229</v>
      </c>
    </row>
    <row r="85" spans="3:10" ht="15" customHeight="1">
      <c r="C85" s="13" t="s">
        <v>192</v>
      </c>
      <c r="G85" s="191">
        <v>1969</v>
      </c>
      <c r="H85" s="192">
        <v>0.45</v>
      </c>
      <c r="I85" s="191"/>
      <c r="J85" s="13" t="s">
        <v>236</v>
      </c>
    </row>
    <row r="86" spans="3:10" ht="15" customHeight="1">
      <c r="C86" s="13" t="s">
        <v>40</v>
      </c>
      <c r="G86" s="191">
        <v>1970</v>
      </c>
      <c r="H86" s="192">
        <v>0.5</v>
      </c>
      <c r="I86" s="191"/>
      <c r="J86" s="13" t="s">
        <v>235</v>
      </c>
    </row>
    <row r="87" spans="3:10" ht="15" customHeight="1">
      <c r="C87" s="13" t="s">
        <v>41</v>
      </c>
      <c r="G87" s="191">
        <v>1971</v>
      </c>
      <c r="H87" s="192">
        <v>0.55000000000000004</v>
      </c>
      <c r="I87" s="191"/>
      <c r="J87" s="13" t="s">
        <v>230</v>
      </c>
    </row>
    <row r="88" spans="3:10" ht="15" customHeight="1">
      <c r="C88" s="13" t="s">
        <v>42</v>
      </c>
      <c r="G88" s="191">
        <v>1972</v>
      </c>
      <c r="H88" s="192">
        <v>0.6</v>
      </c>
      <c r="I88" s="191"/>
      <c r="J88" s="13" t="s">
        <v>231</v>
      </c>
    </row>
    <row r="89" spans="3:10" ht="15" customHeight="1">
      <c r="C89" s="13" t="s">
        <v>43</v>
      </c>
      <c r="G89" s="191">
        <v>1973</v>
      </c>
      <c r="H89" s="192">
        <v>0.65</v>
      </c>
      <c r="I89" s="191"/>
      <c r="J89" s="13" t="s">
        <v>232</v>
      </c>
    </row>
    <row r="90" spans="3:10" ht="15" customHeight="1">
      <c r="C90" s="13" t="s">
        <v>44</v>
      </c>
      <c r="G90" s="191">
        <v>1974</v>
      </c>
      <c r="H90" s="192">
        <v>0.7</v>
      </c>
    </row>
    <row r="91" spans="3:10" ht="15" customHeight="1">
      <c r="C91" s="13" t="s">
        <v>45</v>
      </c>
      <c r="G91" s="191">
        <v>1975</v>
      </c>
      <c r="H91" s="192">
        <v>0.75</v>
      </c>
    </row>
    <row r="92" spans="3:10" ht="15" customHeight="1">
      <c r="C92" s="13" t="s">
        <v>46</v>
      </c>
      <c r="G92" s="191">
        <v>1976</v>
      </c>
      <c r="H92" s="192">
        <v>0.8</v>
      </c>
    </row>
    <row r="93" spans="3:10" ht="15" customHeight="1">
      <c r="C93" s="13" t="s">
        <v>47</v>
      </c>
      <c r="G93" s="191">
        <v>1977</v>
      </c>
      <c r="H93" s="192">
        <v>0.85</v>
      </c>
    </row>
    <row r="94" spans="3:10" ht="15" customHeight="1">
      <c r="C94" s="13" t="s">
        <v>48</v>
      </c>
      <c r="G94" s="191">
        <v>1978</v>
      </c>
      <c r="H94" s="192">
        <v>0.9</v>
      </c>
    </row>
    <row r="95" spans="3:10" ht="15" customHeight="1">
      <c r="C95" s="13" t="s">
        <v>49</v>
      </c>
      <c r="G95" s="191">
        <v>1979</v>
      </c>
      <c r="H95" s="192">
        <v>0.95</v>
      </c>
    </row>
    <row r="96" spans="3:10" ht="15" customHeight="1">
      <c r="C96" s="13" t="s">
        <v>50</v>
      </c>
      <c r="G96" s="191">
        <v>1980</v>
      </c>
      <c r="H96" s="192">
        <v>1</v>
      </c>
    </row>
    <row r="97" spans="3:7" ht="15" customHeight="1">
      <c r="C97" s="13" t="s">
        <v>51</v>
      </c>
      <c r="G97" s="191">
        <v>1981</v>
      </c>
    </row>
    <row r="98" spans="3:7" ht="15" customHeight="1">
      <c r="C98" s="13" t="s">
        <v>52</v>
      </c>
      <c r="G98" s="191">
        <v>1982</v>
      </c>
    </row>
    <row r="99" spans="3:7" ht="15" customHeight="1">
      <c r="C99" s="13" t="s">
        <v>53</v>
      </c>
      <c r="G99" s="191">
        <v>1983</v>
      </c>
    </row>
    <row r="100" spans="3:7" ht="15" customHeight="1">
      <c r="C100" s="13" t="s">
        <v>54</v>
      </c>
      <c r="G100" s="191">
        <v>1984</v>
      </c>
    </row>
    <row r="101" spans="3:7" ht="15" customHeight="1">
      <c r="C101" s="13" t="s">
        <v>55</v>
      </c>
      <c r="G101" s="191">
        <v>1985</v>
      </c>
    </row>
    <row r="102" spans="3:7" ht="15" customHeight="1">
      <c r="C102" s="13" t="s">
        <v>56</v>
      </c>
      <c r="G102" s="191">
        <v>1986</v>
      </c>
    </row>
    <row r="103" spans="3:7" ht="15" customHeight="1">
      <c r="C103" s="13" t="s">
        <v>57</v>
      </c>
      <c r="G103" s="191">
        <v>1987</v>
      </c>
    </row>
    <row r="104" spans="3:7" ht="15" customHeight="1">
      <c r="C104" s="13" t="s">
        <v>58</v>
      </c>
      <c r="G104" s="191">
        <v>1988</v>
      </c>
    </row>
    <row r="105" spans="3:7" ht="15" customHeight="1">
      <c r="C105" s="13" t="s">
        <v>59</v>
      </c>
      <c r="G105" s="191">
        <v>1989</v>
      </c>
    </row>
    <row r="106" spans="3:7" ht="15" customHeight="1">
      <c r="C106" s="13" t="s">
        <v>60</v>
      </c>
      <c r="G106" s="191">
        <v>1990</v>
      </c>
    </row>
    <row r="107" spans="3:7" ht="15" customHeight="1">
      <c r="C107" s="13" t="s">
        <v>61</v>
      </c>
      <c r="G107" s="191">
        <v>1991</v>
      </c>
    </row>
    <row r="108" spans="3:7" ht="15" customHeight="1">
      <c r="C108" s="13" t="s">
        <v>62</v>
      </c>
      <c r="G108" s="191">
        <v>1992</v>
      </c>
    </row>
    <row r="109" spans="3:7" ht="15" customHeight="1">
      <c r="C109" s="13" t="s">
        <v>135</v>
      </c>
      <c r="G109" s="191">
        <v>1993</v>
      </c>
    </row>
    <row r="110" spans="3:7" ht="15" customHeight="1">
      <c r="C110" s="13" t="s">
        <v>63</v>
      </c>
      <c r="G110" s="191">
        <v>1994</v>
      </c>
    </row>
    <row r="111" spans="3:7" ht="15" customHeight="1">
      <c r="C111" s="13" t="s">
        <v>64</v>
      </c>
      <c r="G111" s="191">
        <v>1995</v>
      </c>
    </row>
    <row r="112" spans="3:7" ht="15" customHeight="1">
      <c r="C112" s="13" t="s">
        <v>65</v>
      </c>
      <c r="G112" s="191">
        <v>1996</v>
      </c>
    </row>
    <row r="113" spans="3:7" ht="15" customHeight="1">
      <c r="C113" s="13" t="s">
        <v>73</v>
      </c>
      <c r="G113" s="191">
        <v>1997</v>
      </c>
    </row>
    <row r="114" spans="3:7" ht="15" customHeight="1">
      <c r="C114" s="13" t="s">
        <v>66</v>
      </c>
      <c r="G114" s="191">
        <v>1998</v>
      </c>
    </row>
    <row r="115" spans="3:7" ht="15" customHeight="1">
      <c r="C115" s="13" t="s">
        <v>67</v>
      </c>
      <c r="G115" s="191">
        <v>1999</v>
      </c>
    </row>
    <row r="116" spans="3:7" ht="15" customHeight="1">
      <c r="C116" s="13" t="s">
        <v>68</v>
      </c>
      <c r="G116" s="191">
        <v>2000</v>
      </c>
    </row>
    <row r="117" spans="3:7" ht="15" customHeight="1">
      <c r="C117" s="13" t="s">
        <v>69</v>
      </c>
      <c r="G117" s="191">
        <v>2001</v>
      </c>
    </row>
    <row r="118" spans="3:7" ht="15" customHeight="1">
      <c r="C118" s="13" t="s">
        <v>70</v>
      </c>
      <c r="G118" s="191">
        <v>2002</v>
      </c>
    </row>
    <row r="119" spans="3:7" ht="15" customHeight="1">
      <c r="C119" s="13" t="s">
        <v>71</v>
      </c>
      <c r="G119" s="191">
        <v>2003</v>
      </c>
    </row>
    <row r="120" spans="3:7" ht="15" customHeight="1">
      <c r="C120" s="13" t="s">
        <v>74</v>
      </c>
      <c r="G120" s="191">
        <v>2004</v>
      </c>
    </row>
    <row r="121" spans="3:7" ht="15" customHeight="1">
      <c r="C121" s="13" t="s">
        <v>75</v>
      </c>
      <c r="G121" s="191">
        <v>2005</v>
      </c>
    </row>
    <row r="122" spans="3:7" ht="15" customHeight="1">
      <c r="C122" s="13" t="s">
        <v>76</v>
      </c>
      <c r="G122" s="191">
        <v>2006</v>
      </c>
    </row>
    <row r="123" spans="3:7" ht="15" customHeight="1">
      <c r="C123" s="13" t="s">
        <v>9</v>
      </c>
      <c r="G123" s="191">
        <v>2007</v>
      </c>
    </row>
    <row r="124" spans="3:7" ht="15" customHeight="1">
      <c r="C124" s="13" t="s">
        <v>77</v>
      </c>
      <c r="G124" s="191">
        <v>2008</v>
      </c>
    </row>
    <row r="125" spans="3:7" ht="15" customHeight="1">
      <c r="C125" s="13" t="s">
        <v>78</v>
      </c>
      <c r="G125" s="191">
        <v>2009</v>
      </c>
    </row>
    <row r="126" spans="3:7" ht="15" customHeight="1">
      <c r="C126" s="13" t="s">
        <v>79</v>
      </c>
      <c r="G126" s="191">
        <v>2010</v>
      </c>
    </row>
    <row r="127" spans="3:7" ht="15" customHeight="1">
      <c r="C127" s="13" t="s">
        <v>80</v>
      </c>
      <c r="G127" s="191">
        <v>2011</v>
      </c>
    </row>
    <row r="128" spans="3:7" ht="15" customHeight="1">
      <c r="C128" s="13" t="s">
        <v>81</v>
      </c>
      <c r="G128" s="191">
        <v>2012</v>
      </c>
    </row>
    <row r="129" spans="3:7" ht="15" customHeight="1">
      <c r="C129" s="13" t="s">
        <v>83</v>
      </c>
      <c r="G129" s="191">
        <v>2013</v>
      </c>
    </row>
    <row r="130" spans="3:7" ht="15" customHeight="1">
      <c r="C130" s="13" t="s">
        <v>84</v>
      </c>
      <c r="G130" s="191">
        <v>2014</v>
      </c>
    </row>
    <row r="131" spans="3:7" ht="15" customHeight="1">
      <c r="C131" s="13" t="s">
        <v>85</v>
      </c>
      <c r="G131" s="191">
        <v>2015</v>
      </c>
    </row>
    <row r="132" spans="3:7" ht="15" customHeight="1">
      <c r="C132" s="13" t="s">
        <v>86</v>
      </c>
      <c r="G132" s="47"/>
    </row>
    <row r="133" spans="3:7" ht="15" customHeight="1">
      <c r="C133" s="13" t="s">
        <v>87</v>
      </c>
    </row>
    <row r="134" spans="3:7" ht="15" customHeight="1">
      <c r="C134" s="13" t="s">
        <v>88</v>
      </c>
    </row>
    <row r="135" spans="3:7" ht="15" customHeight="1">
      <c r="C135" s="13" t="s">
        <v>89</v>
      </c>
    </row>
    <row r="136" spans="3:7" ht="15" customHeight="1">
      <c r="C136" s="13" t="s">
        <v>90</v>
      </c>
    </row>
    <row r="137" spans="3:7" ht="15" customHeight="1">
      <c r="C137" s="13" t="s">
        <v>91</v>
      </c>
    </row>
    <row r="138" spans="3:7" ht="15" customHeight="1">
      <c r="C138" s="13" t="s">
        <v>92</v>
      </c>
    </row>
    <row r="139" spans="3:7" ht="15" customHeight="1">
      <c r="C139" s="13" t="s">
        <v>93</v>
      </c>
    </row>
    <row r="140" spans="3:7" ht="15" customHeight="1">
      <c r="C140" s="13" t="s">
        <v>94</v>
      </c>
    </row>
    <row r="141" spans="3:7" ht="15" customHeight="1">
      <c r="C141" s="13" t="s">
        <v>95</v>
      </c>
    </row>
    <row r="142" spans="3:7" ht="15" customHeight="1">
      <c r="C142" s="13" t="s">
        <v>96</v>
      </c>
    </row>
    <row r="143" spans="3:7" ht="15" customHeight="1">
      <c r="C143" s="13" t="s">
        <v>97</v>
      </c>
    </row>
    <row r="144" spans="3:7" ht="15" customHeight="1">
      <c r="C144" s="13" t="s">
        <v>100</v>
      </c>
    </row>
    <row r="145" spans="3:3" ht="15" customHeight="1">
      <c r="C145" s="13" t="s">
        <v>98</v>
      </c>
    </row>
    <row r="146" spans="3:3" ht="15" customHeight="1">
      <c r="C146" s="13" t="s">
        <v>99</v>
      </c>
    </row>
    <row r="147" spans="3:3" ht="15" customHeight="1">
      <c r="C147" s="13" t="s">
        <v>101</v>
      </c>
    </row>
    <row r="148" spans="3:3" ht="15" customHeight="1">
      <c r="C148" s="13" t="s">
        <v>102</v>
      </c>
    </row>
    <row r="149" spans="3:3" ht="15" customHeight="1">
      <c r="C149" s="13" t="s">
        <v>103</v>
      </c>
    </row>
    <row r="150" spans="3:3" ht="15" customHeight="1">
      <c r="C150" s="13" t="s">
        <v>104</v>
      </c>
    </row>
    <row r="151" spans="3:3" ht="15" customHeight="1">
      <c r="C151" s="13" t="s">
        <v>105</v>
      </c>
    </row>
    <row r="152" spans="3:3" ht="15" customHeight="1">
      <c r="C152" s="13" t="s">
        <v>106</v>
      </c>
    </row>
    <row r="153" spans="3:3" ht="15" customHeight="1">
      <c r="C153" s="13" t="s">
        <v>107</v>
      </c>
    </row>
    <row r="154" spans="3:3" ht="15" customHeight="1">
      <c r="C154" s="13" t="s">
        <v>193</v>
      </c>
    </row>
    <row r="155" spans="3:3" ht="15" customHeight="1">
      <c r="C155" s="13" t="s">
        <v>108</v>
      </c>
    </row>
    <row r="156" spans="3:3" ht="15" customHeight="1">
      <c r="C156" s="13" t="s">
        <v>109</v>
      </c>
    </row>
    <row r="157" spans="3:3" ht="15" customHeight="1">
      <c r="C157" s="13" t="s">
        <v>110</v>
      </c>
    </row>
    <row r="158" spans="3:3" ht="15" customHeight="1">
      <c r="C158" s="13" t="s">
        <v>111</v>
      </c>
    </row>
    <row r="159" spans="3:3" ht="15" customHeight="1">
      <c r="C159" s="13" t="s">
        <v>112</v>
      </c>
    </row>
    <row r="160" spans="3:3" ht="15" customHeight="1">
      <c r="C160" s="13" t="s">
        <v>113</v>
      </c>
    </row>
    <row r="161" spans="3:3" ht="15" customHeight="1">
      <c r="C161" s="13" t="s">
        <v>114</v>
      </c>
    </row>
    <row r="162" spans="3:3" ht="15" customHeight="1">
      <c r="C162" s="13" t="s">
        <v>115</v>
      </c>
    </row>
    <row r="163" spans="3:3" ht="15" customHeight="1">
      <c r="C163" s="13" t="s">
        <v>194</v>
      </c>
    </row>
    <row r="164" spans="3:3" ht="15" customHeight="1">
      <c r="C164" s="13" t="s">
        <v>116</v>
      </c>
    </row>
    <row r="165" spans="3:3" ht="15" customHeight="1">
      <c r="C165" s="13" t="s">
        <v>117</v>
      </c>
    </row>
    <row r="166" spans="3:3" ht="15" customHeight="1">
      <c r="C166" s="13" t="s">
        <v>118</v>
      </c>
    </row>
    <row r="167" spans="3:3" ht="15" customHeight="1">
      <c r="C167" s="13" t="s">
        <v>141</v>
      </c>
    </row>
    <row r="168" spans="3:3" ht="15" customHeight="1">
      <c r="C168" s="13" t="s">
        <v>119</v>
      </c>
    </row>
    <row r="169" spans="3:3" ht="15" customHeight="1">
      <c r="C169" s="13" t="s">
        <v>120</v>
      </c>
    </row>
    <row r="170" spans="3:3" ht="15" customHeight="1">
      <c r="C170" s="13" t="s">
        <v>121</v>
      </c>
    </row>
    <row r="171" spans="3:3" ht="15" customHeight="1">
      <c r="C171" s="13" t="s">
        <v>122</v>
      </c>
    </row>
    <row r="172" spans="3:3" ht="15" customHeight="1">
      <c r="C172" s="13" t="s">
        <v>123</v>
      </c>
    </row>
    <row r="173" spans="3:3" ht="15" customHeight="1">
      <c r="C173" s="13" t="s">
        <v>124</v>
      </c>
    </row>
    <row r="174" spans="3:3" ht="15" customHeight="1">
      <c r="C174" s="13" t="s">
        <v>125</v>
      </c>
    </row>
    <row r="175" spans="3:3" ht="15" customHeight="1">
      <c r="C175" s="13" t="s">
        <v>126</v>
      </c>
    </row>
    <row r="176" spans="3:3" ht="15" customHeight="1">
      <c r="C176" s="13" t="s">
        <v>127</v>
      </c>
    </row>
    <row r="177" spans="3:3" ht="15" customHeight="1">
      <c r="C177" s="13" t="s">
        <v>128</v>
      </c>
    </row>
    <row r="178" spans="3:3" ht="15" customHeight="1">
      <c r="C178" s="13" t="s">
        <v>129</v>
      </c>
    </row>
    <row r="179" spans="3:3" ht="15" customHeight="1">
      <c r="C179" s="13" t="s">
        <v>130</v>
      </c>
    </row>
    <row r="180" spans="3:3" ht="15" customHeight="1">
      <c r="C180" s="13" t="s">
        <v>131</v>
      </c>
    </row>
    <row r="181" spans="3:3" ht="15" customHeight="1">
      <c r="C181" s="13" t="s">
        <v>132</v>
      </c>
    </row>
    <row r="182" spans="3:3" ht="15" customHeight="1">
      <c r="C182" s="13" t="s">
        <v>133</v>
      </c>
    </row>
    <row r="183" spans="3:3" ht="15" customHeight="1">
      <c r="C183" s="13" t="s">
        <v>134</v>
      </c>
    </row>
    <row r="184" spans="3:3" ht="15" customHeight="1">
      <c r="C184" s="13" t="s">
        <v>136</v>
      </c>
    </row>
    <row r="185" spans="3:3" ht="15" customHeight="1">
      <c r="C185" s="13" t="s">
        <v>137</v>
      </c>
    </row>
    <row r="186" spans="3:3" ht="15" customHeight="1">
      <c r="C186" s="13" t="s">
        <v>138</v>
      </c>
    </row>
    <row r="187" spans="3:3" ht="15" customHeight="1">
      <c r="C187" s="13" t="s">
        <v>139</v>
      </c>
    </row>
    <row r="188" spans="3:3" ht="15" customHeight="1">
      <c r="C188" s="13" t="s">
        <v>140</v>
      </c>
    </row>
    <row r="189" spans="3:3" ht="15" customHeight="1">
      <c r="C189" s="13" t="s">
        <v>142</v>
      </c>
    </row>
    <row r="190" spans="3:3" ht="15" customHeight="1">
      <c r="C190" s="13" t="s">
        <v>143</v>
      </c>
    </row>
    <row r="191" spans="3:3" ht="15" customHeight="1">
      <c r="C191" s="13" t="s">
        <v>144</v>
      </c>
    </row>
    <row r="192" spans="3:3" ht="15" customHeight="1">
      <c r="C192" s="13" t="s">
        <v>145</v>
      </c>
    </row>
    <row r="193" spans="3:3" ht="15" customHeight="1">
      <c r="C193" s="13" t="s">
        <v>146</v>
      </c>
    </row>
    <row r="194" spans="3:3" ht="15" customHeight="1">
      <c r="C194" s="13" t="s">
        <v>147</v>
      </c>
    </row>
    <row r="195" spans="3:3" ht="15" customHeight="1">
      <c r="C195" s="13" t="s">
        <v>148</v>
      </c>
    </row>
    <row r="196" spans="3:3" ht="15" customHeight="1">
      <c r="C196" s="13" t="s">
        <v>195</v>
      </c>
    </row>
    <row r="197" spans="3:3" ht="15" customHeight="1">
      <c r="C197" s="13" t="s">
        <v>150</v>
      </c>
    </row>
    <row r="198" spans="3:3" ht="15" customHeight="1">
      <c r="C198" s="13" t="s">
        <v>151</v>
      </c>
    </row>
    <row r="199" spans="3:3" ht="15" customHeight="1">
      <c r="C199" s="13" t="s">
        <v>152</v>
      </c>
    </row>
    <row r="200" spans="3:3" ht="15" customHeight="1">
      <c r="C200" s="13" t="s">
        <v>153</v>
      </c>
    </row>
    <row r="201" spans="3:3" ht="15" customHeight="1">
      <c r="C201" s="13" t="s">
        <v>154</v>
      </c>
    </row>
    <row r="202" spans="3:3" ht="15" customHeight="1">
      <c r="C202" s="13" t="s">
        <v>155</v>
      </c>
    </row>
    <row r="203" spans="3:3" ht="15" customHeight="1">
      <c r="C203" s="13" t="s">
        <v>156</v>
      </c>
    </row>
    <row r="204" spans="3:3" ht="15" customHeight="1">
      <c r="C204" s="13" t="s">
        <v>157</v>
      </c>
    </row>
    <row r="205" spans="3:3" ht="15" customHeight="1">
      <c r="C205" s="13" t="s">
        <v>167</v>
      </c>
    </row>
    <row r="206" spans="3:3" ht="15" customHeight="1">
      <c r="C206" s="13" t="s">
        <v>158</v>
      </c>
    </row>
    <row r="207" spans="3:3" ht="15" customHeight="1">
      <c r="C207" s="13" t="s">
        <v>159</v>
      </c>
    </row>
    <row r="208" spans="3:3" ht="15" customHeight="1">
      <c r="C208" s="13" t="s">
        <v>160</v>
      </c>
    </row>
    <row r="209" spans="3:3" ht="15" customHeight="1">
      <c r="C209" s="13" t="s">
        <v>161</v>
      </c>
    </row>
    <row r="210" spans="3:3" ht="15" customHeight="1">
      <c r="C210" s="13" t="s">
        <v>162</v>
      </c>
    </row>
    <row r="211" spans="3:3" ht="15" customHeight="1">
      <c r="C211" s="13" t="s">
        <v>163</v>
      </c>
    </row>
    <row r="212" spans="3:3" ht="15" customHeight="1">
      <c r="C212" s="13" t="s">
        <v>164</v>
      </c>
    </row>
    <row r="213" spans="3:3" ht="15" customHeight="1">
      <c r="C213" s="13" t="s">
        <v>165</v>
      </c>
    </row>
    <row r="214" spans="3:3" ht="15" customHeight="1">
      <c r="C214" s="13" t="s">
        <v>166</v>
      </c>
    </row>
    <row r="215" spans="3:3" ht="15" customHeight="1">
      <c r="C215" s="13" t="s">
        <v>168</v>
      </c>
    </row>
    <row r="216" spans="3:3" ht="15" customHeight="1">
      <c r="C216" s="13" t="s">
        <v>169</v>
      </c>
    </row>
    <row r="217" spans="3:3" ht="15" customHeight="1">
      <c r="C217" s="13" t="s">
        <v>170</v>
      </c>
    </row>
    <row r="218" spans="3:3" ht="15" customHeight="1">
      <c r="C218" s="13" t="s">
        <v>171</v>
      </c>
    </row>
    <row r="219" spans="3:3" ht="15" customHeight="1">
      <c r="C219" s="13" t="s">
        <v>172</v>
      </c>
    </row>
    <row r="220" spans="3:3" ht="15" customHeight="1">
      <c r="C220" s="13" t="s">
        <v>173</v>
      </c>
    </row>
    <row r="221" spans="3:3" ht="15" customHeight="1">
      <c r="C221" s="13" t="s">
        <v>174</v>
      </c>
    </row>
    <row r="222" spans="3:3" ht="15" customHeight="1">
      <c r="C222" s="13" t="s">
        <v>175</v>
      </c>
    </row>
    <row r="223" spans="3:3" ht="15" customHeight="1">
      <c r="C223" s="13" t="s">
        <v>176</v>
      </c>
    </row>
    <row r="224" spans="3:3" ht="15" customHeight="1">
      <c r="C224" s="13" t="s">
        <v>178</v>
      </c>
    </row>
    <row r="225" spans="3:3" ht="15" customHeight="1">
      <c r="C225" s="13" t="s">
        <v>177</v>
      </c>
    </row>
    <row r="226" spans="3:3" ht="15" customHeight="1"/>
    <row r="227" spans="3:3" ht="15" customHeight="1"/>
    <row r="228" spans="3:3" ht="15" customHeight="1"/>
    <row r="229" spans="3:3" ht="15" customHeight="1"/>
    <row r="230" spans="3:3" ht="15" customHeight="1"/>
    <row r="231" spans="3:3" ht="15" customHeight="1"/>
    <row r="232" spans="3:3" ht="15" customHeight="1"/>
    <row r="233" spans="3:3" ht="15" customHeight="1"/>
    <row r="234" spans="3:3" ht="15" customHeight="1"/>
    <row r="235" spans="3:3" ht="15" customHeight="1"/>
    <row r="236" spans="3:3" ht="15" customHeight="1"/>
    <row r="237" spans="3:3" ht="15" customHeight="1"/>
    <row r="238" spans="3:3" ht="15" customHeight="1"/>
    <row r="239" spans="3:3" ht="15" customHeight="1"/>
    <row r="240" spans="3:3"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sheetData>
  <dataValidations count="14">
    <dataValidation type="list" allowBlank="1" showInputMessage="1" sqref="K54:K61">
      <formula1>$I$75:$I$77</formula1>
    </dataValidation>
    <dataValidation type="list" allowBlank="1" showInputMessage="1" sqref="E54:E61">
      <formula1>$J$75:$J$88</formula1>
    </dataValidation>
    <dataValidation type="list" allowBlank="1" showInputMessage="1" showErrorMessage="1" sqref="I54:I61">
      <formula1>$G$75:$G$130</formula1>
    </dataValidation>
    <dataValidation type="list" allowBlank="1" showInputMessage="1" showErrorMessage="1" sqref="O54:O61">
      <formula1>$G$95:$G$130</formula1>
    </dataValidation>
    <dataValidation type="list" allowBlank="1" showInputMessage="1" showErrorMessage="1" sqref="O53 O62:O64">
      <formula1>$G$96:$G$131</formula1>
    </dataValidation>
    <dataValidation type="list" allowBlank="1" showInputMessage="1" showErrorMessage="1" sqref="I53 I62:I64">
      <formula1>$G$76:$G$131</formula1>
    </dataValidation>
    <dataValidation type="list" allowBlank="1" showInputMessage="1" showErrorMessage="1" sqref="H53:H64">
      <formula1>$E$13:$E$22</formula1>
    </dataValidation>
    <dataValidation type="list" allowBlank="1" showInputMessage="1" sqref="E53 E62:E64">
      <formula1>$J$76:$J$89</formula1>
    </dataValidation>
    <dataValidation type="list" allowBlank="1" showInputMessage="1" sqref="K53 K62:K64">
      <formula1>$I$76:$I$78</formula1>
    </dataValidation>
    <dataValidation type="list" allowBlank="1" showInputMessage="1" showErrorMessage="1" sqref="I40:I49">
      <formula1>$H$76:$H$96</formula1>
    </dataValidation>
    <dataValidation type="list" allowBlank="1" showInputMessage="1" sqref="H40:H49">
      <formula1>$G$96:$G$132</formula1>
    </dataValidation>
    <dataValidation type="list" allowBlank="1" showInputMessage="1" showErrorMessage="1" sqref="O40:O49 R53:R64">
      <formula1>$F$76:$F$79</formula1>
    </dataValidation>
    <dataValidation allowBlank="1" showInputMessage="1" sqref="G40:G49"/>
    <dataValidation type="list" allowBlank="1" showInputMessage="1" showErrorMessage="1" sqref="E9">
      <formula1>C$76:C$225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1-Intro and Instructions</vt:lpstr>
      <vt:lpstr>2-Data Collection Support</vt:lpstr>
      <vt:lpstr>3-Data Workspace</vt:lpstr>
      <vt:lpstr>4-Data Summary Sheet</vt:lpstr>
      <vt:lpstr>5-Energy Balance Calculation</vt:lpstr>
      <vt:lpstr>6-Sankey Diagram Instructions</vt:lpstr>
      <vt:lpstr>7-Stationary Energy</vt:lpstr>
      <vt:lpstr>Stationary Reference</vt:lpstr>
      <vt:lpstr>8-Transportation</vt:lpstr>
      <vt:lpstr>Transportation Reference</vt:lpstr>
      <vt:lpstr>9-Water </vt:lpstr>
      <vt:lpstr>Water Reference</vt:lpstr>
      <vt:lpstr>10-Solid Waste</vt:lpstr>
      <vt:lpstr>Solid Waste Reference</vt:lpstr>
    </vt:vector>
  </TitlesOfParts>
  <Company>The World Bank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wb271635</dc:creator>
  <cp:lastModifiedBy>Suk Harn Jeanette Lim</cp:lastModifiedBy>
  <dcterms:created xsi:type="dcterms:W3CDTF">2011-02-15T20:15:34Z</dcterms:created>
  <dcterms:modified xsi:type="dcterms:W3CDTF">2012-08-28T16:35:42Z</dcterms:modified>
</cp:coreProperties>
</file>